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Бугры 912\НВК\Для тендера НЛК\"/>
    </mc:Choice>
  </mc:AlternateContent>
  <xr:revisionPtr revIDLastSave="0" documentId="13_ncr:1_{B8A337DF-DCB3-4F95-BE9C-AE257DAA001B}" xr6:coauthVersionLast="45" xr6:coauthVersionMax="45" xr10:uidLastSave="{00000000-0000-0000-0000-000000000000}"/>
  <bookViews>
    <workbookView xWindow="-120" yWindow="-120" windowWidth="29040" windowHeight="15990" activeTab="1" xr2:uid="{93CD399F-A84D-4128-BCFA-2D2A9D32B849}"/>
  </bookViews>
  <sheets>
    <sheet name="НЛК К22" sheetId="7" r:id="rId1"/>
    <sheet name="НЛК 20" sheetId="10" r:id="rId2"/>
    <sheet name="НЛК К23" sheetId="8" r:id="rId3"/>
    <sheet name="НЛК 19" sheetId="9" r:id="rId4"/>
  </sheets>
  <definedNames>
    <definedName name="_xlnm.Print_Titles" localSheetId="0">'НЛК К22'!$17:$17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8" i="7" l="1"/>
  <c r="K22" i="10" l="1"/>
  <c r="K19" i="10"/>
  <c r="K35" i="10"/>
  <c r="K32" i="10"/>
  <c r="E75" i="10"/>
  <c r="E53" i="10"/>
  <c r="L55" i="10"/>
  <c r="H70" i="10"/>
  <c r="E79" i="10" l="1"/>
  <c r="I79" i="10" s="1"/>
  <c r="H77" i="10"/>
  <c r="H76" i="10"/>
  <c r="H74" i="10"/>
  <c r="E73" i="10"/>
  <c r="I73" i="10" s="1"/>
  <c r="H72" i="10"/>
  <c r="H71" i="10"/>
  <c r="K69" i="10"/>
  <c r="H69" i="10"/>
  <c r="K68" i="10"/>
  <c r="H68" i="10"/>
  <c r="K67" i="10"/>
  <c r="H67" i="10"/>
  <c r="H66" i="10"/>
  <c r="K65" i="10"/>
  <c r="H65" i="10"/>
  <c r="I64" i="10"/>
  <c r="H63" i="10"/>
  <c r="H62" i="10"/>
  <c r="H61" i="10"/>
  <c r="K60" i="10"/>
  <c r="H60" i="10"/>
  <c r="K59" i="10"/>
  <c r="H59" i="10"/>
  <c r="K58" i="10"/>
  <c r="H58" i="10"/>
  <c r="K57" i="10"/>
  <c r="H57" i="10"/>
  <c r="K56" i="10"/>
  <c r="H56" i="10"/>
  <c r="I55" i="10"/>
  <c r="I53" i="10"/>
  <c r="I49" i="10"/>
  <c r="H48" i="10"/>
  <c r="I47" i="10"/>
  <c r="I46" i="10"/>
  <c r="H45" i="10"/>
  <c r="I43" i="10"/>
  <c r="H42" i="10"/>
  <c r="K41" i="10"/>
  <c r="I41" i="10"/>
  <c r="H37" i="10"/>
  <c r="E36" i="10"/>
  <c r="H36" i="10" s="1"/>
  <c r="I35" i="10"/>
  <c r="H35" i="10"/>
  <c r="H34" i="10"/>
  <c r="E33" i="10"/>
  <c r="H33" i="10" s="1"/>
  <c r="I32" i="10"/>
  <c r="I38" i="10" s="1"/>
  <c r="I28" i="10"/>
  <c r="I27" i="10"/>
  <c r="I26" i="10"/>
  <c r="E25" i="10"/>
  <c r="H25" i="10" s="1"/>
  <c r="I24" i="10"/>
  <c r="E23" i="10"/>
  <c r="H23" i="10" s="1"/>
  <c r="I22" i="10"/>
  <c r="K20" i="10"/>
  <c r="E20" i="10"/>
  <c r="I20" i="10" s="1"/>
  <c r="K18" i="10"/>
  <c r="E28" i="7"/>
  <c r="H28" i="7" s="1"/>
  <c r="E20" i="7"/>
  <c r="E19" i="7"/>
  <c r="E22" i="7" s="1"/>
  <c r="N20" i="7"/>
  <c r="O20" i="7" s="1"/>
  <c r="K19" i="7"/>
  <c r="H109" i="8"/>
  <c r="L66" i="8"/>
  <c r="M86" i="8"/>
  <c r="L86" i="8"/>
  <c r="K66" i="8"/>
  <c r="H95" i="8"/>
  <c r="E94" i="8"/>
  <c r="I94" i="8" s="1"/>
  <c r="E28" i="8"/>
  <c r="H28" i="8" s="1"/>
  <c r="K37" i="8"/>
  <c r="K34" i="8"/>
  <c r="K20" i="8"/>
  <c r="E20" i="9"/>
  <c r="I21" i="8"/>
  <c r="E20" i="8"/>
  <c r="E19" i="8"/>
  <c r="K19" i="8" s="1"/>
  <c r="K55" i="10" l="1"/>
  <c r="M55" i="10" s="1"/>
  <c r="K64" i="10"/>
  <c r="H38" i="10"/>
  <c r="I39" i="10" s="1"/>
  <c r="I23" i="10"/>
  <c r="I50" i="10"/>
  <c r="K25" i="10"/>
  <c r="I19" i="10"/>
  <c r="N25" i="10"/>
  <c r="E44" i="10"/>
  <c r="H44" i="10" s="1"/>
  <c r="H50" i="10" s="1"/>
  <c r="E54" i="10"/>
  <c r="H54" i="10" s="1"/>
  <c r="H81" i="10" s="1"/>
  <c r="I75" i="10"/>
  <c r="E78" i="10"/>
  <c r="E80" i="10" s="1"/>
  <c r="H29" i="10"/>
  <c r="I18" i="10"/>
  <c r="E21" i="10"/>
  <c r="I21" i="10" s="1"/>
  <c r="K21" i="8"/>
  <c r="N26" i="8" s="1"/>
  <c r="E22" i="8"/>
  <c r="I22" i="8" s="1"/>
  <c r="I51" i="10" l="1"/>
  <c r="I29" i="10"/>
  <c r="I30" i="10" s="1"/>
  <c r="I80" i="10"/>
  <c r="I78" i="10"/>
  <c r="H85" i="10"/>
  <c r="I81" i="10" l="1"/>
  <c r="I82" i="10" s="1"/>
  <c r="I83" i="10" s="1"/>
  <c r="I84" i="10" s="1"/>
  <c r="I85" i="10" l="1"/>
  <c r="E27" i="9"/>
  <c r="I27" i="9" l="1"/>
  <c r="E19" i="9"/>
  <c r="E18" i="9"/>
  <c r="K18" i="9" s="1"/>
  <c r="K24" i="9"/>
  <c r="I28" i="9"/>
  <c r="K39" i="9"/>
  <c r="K45" i="9"/>
  <c r="K36" i="9"/>
  <c r="K33" i="9"/>
  <c r="K20" i="9"/>
  <c r="L71" i="9"/>
  <c r="H90" i="9"/>
  <c r="E89" i="9"/>
  <c r="I89" i="9" s="1"/>
  <c r="E41" i="9"/>
  <c r="E97" i="9"/>
  <c r="K19" i="9" l="1"/>
  <c r="E21" i="9"/>
  <c r="I21" i="9" s="1"/>
  <c r="H27" i="9"/>
  <c r="E94" i="9"/>
  <c r="E93" i="9"/>
  <c r="E57" i="9"/>
  <c r="K22" i="9" s="1"/>
  <c r="E70" i="9"/>
  <c r="E65" i="9"/>
  <c r="E64" i="9"/>
  <c r="K64" i="9" s="1"/>
  <c r="E62" i="9"/>
  <c r="E61" i="9"/>
  <c r="H66" i="9"/>
  <c r="K72" i="9"/>
  <c r="H64" i="9" l="1"/>
  <c r="E88" i="9"/>
  <c r="H46" i="9"/>
  <c r="E45" i="9"/>
  <c r="I45" i="9" s="1"/>
  <c r="E47" i="9"/>
  <c r="E96" i="9" s="1"/>
  <c r="H38" i="9" l="1"/>
  <c r="E37" i="9"/>
  <c r="H37" i="9" s="1"/>
  <c r="I36" i="9"/>
  <c r="E98" i="9" l="1"/>
  <c r="I98" i="9" s="1"/>
  <c r="I97" i="9"/>
  <c r="H95" i="9"/>
  <c r="H94" i="9"/>
  <c r="H93" i="9"/>
  <c r="H92" i="9"/>
  <c r="E91" i="9"/>
  <c r="I91" i="9" s="1"/>
  <c r="H88" i="9"/>
  <c r="H87" i="9"/>
  <c r="K86" i="9"/>
  <c r="H86" i="9"/>
  <c r="K85" i="9"/>
  <c r="H85" i="9"/>
  <c r="K84" i="9"/>
  <c r="H84" i="9"/>
  <c r="H83" i="9"/>
  <c r="K82" i="9"/>
  <c r="H82" i="9"/>
  <c r="I81" i="9"/>
  <c r="H80" i="9"/>
  <c r="H79" i="9"/>
  <c r="H78" i="9"/>
  <c r="K77" i="9"/>
  <c r="H77" i="9"/>
  <c r="K76" i="9"/>
  <c r="H76" i="9"/>
  <c r="K75" i="9"/>
  <c r="H75" i="9"/>
  <c r="K74" i="9"/>
  <c r="H74" i="9"/>
  <c r="K73" i="9"/>
  <c r="K71" i="9" s="1"/>
  <c r="H73" i="9"/>
  <c r="H72" i="9"/>
  <c r="I71" i="9"/>
  <c r="H70" i="9"/>
  <c r="H69" i="9"/>
  <c r="H68" i="9"/>
  <c r="H67" i="9"/>
  <c r="K65" i="9"/>
  <c r="H65" i="9"/>
  <c r="K63" i="9"/>
  <c r="H63" i="9"/>
  <c r="K62" i="9"/>
  <c r="H62" i="9"/>
  <c r="K61" i="9"/>
  <c r="H61" i="9"/>
  <c r="K60" i="9"/>
  <c r="H60" i="9"/>
  <c r="L59" i="9"/>
  <c r="I59" i="9"/>
  <c r="E58" i="9"/>
  <c r="H58" i="9" s="1"/>
  <c r="I57" i="9"/>
  <c r="I53" i="9"/>
  <c r="H52" i="9"/>
  <c r="I51" i="9"/>
  <c r="I50" i="9"/>
  <c r="H49" i="9"/>
  <c r="E48" i="9"/>
  <c r="H48" i="9" s="1"/>
  <c r="H54" i="9" s="1"/>
  <c r="I47" i="9"/>
  <c r="H41" i="9"/>
  <c r="E40" i="9"/>
  <c r="H40" i="9" s="1"/>
  <c r="I39" i="9"/>
  <c r="H39" i="9"/>
  <c r="H35" i="9"/>
  <c r="E34" i="9"/>
  <c r="H34" i="9" s="1"/>
  <c r="I33" i="9"/>
  <c r="I42" i="9" s="1"/>
  <c r="I29" i="9"/>
  <c r="I26" i="9"/>
  <c r="N25" i="9"/>
  <c r="K25" i="9"/>
  <c r="E25" i="9"/>
  <c r="H25" i="9" s="1"/>
  <c r="I24" i="9"/>
  <c r="E23" i="9"/>
  <c r="I23" i="9" s="1"/>
  <c r="I22" i="9"/>
  <c r="I20" i="9"/>
  <c r="I19" i="9"/>
  <c r="I18" i="9"/>
  <c r="L55" i="8"/>
  <c r="E53" i="8"/>
  <c r="I53" i="8" s="1"/>
  <c r="E102" i="8"/>
  <c r="I102" i="8" s="1"/>
  <c r="E96" i="8"/>
  <c r="H98" i="8"/>
  <c r="H63" i="8"/>
  <c r="H64" i="8"/>
  <c r="K57" i="8"/>
  <c r="H57" i="8"/>
  <c r="E43" i="8"/>
  <c r="E101" i="8" s="1"/>
  <c r="H100" i="8"/>
  <c r="H99" i="8"/>
  <c r="H97" i="8"/>
  <c r="H93" i="8"/>
  <c r="H92" i="8"/>
  <c r="K91" i="8"/>
  <c r="H91" i="8"/>
  <c r="K90" i="8"/>
  <c r="H90" i="8"/>
  <c r="K89" i="8"/>
  <c r="H89" i="8"/>
  <c r="E88" i="8"/>
  <c r="H88" i="8" s="1"/>
  <c r="K87" i="8"/>
  <c r="H87" i="8"/>
  <c r="I86" i="8"/>
  <c r="H85" i="8"/>
  <c r="I84" i="8"/>
  <c r="H83" i="8"/>
  <c r="H82" i="8"/>
  <c r="I81" i="8"/>
  <c r="H80" i="8"/>
  <c r="E79" i="8"/>
  <c r="I79" i="8" s="1"/>
  <c r="H78" i="8"/>
  <c r="H77" i="8"/>
  <c r="I76" i="8"/>
  <c r="H75" i="8"/>
  <c r="H74" i="8"/>
  <c r="E73" i="8"/>
  <c r="H73" i="8" s="1"/>
  <c r="K72" i="8"/>
  <c r="H71" i="8"/>
  <c r="K70" i="8"/>
  <c r="H69" i="8"/>
  <c r="K68" i="8"/>
  <c r="K67" i="8"/>
  <c r="H67" i="8"/>
  <c r="I66" i="8"/>
  <c r="H65" i="8"/>
  <c r="H62" i="8"/>
  <c r="K61" i="8"/>
  <c r="H61" i="8"/>
  <c r="K60" i="8"/>
  <c r="H60" i="8"/>
  <c r="K59" i="8"/>
  <c r="H59" i="8"/>
  <c r="K58" i="8"/>
  <c r="H58" i="8"/>
  <c r="K56" i="8"/>
  <c r="H56" i="8"/>
  <c r="I55" i="8"/>
  <c r="I49" i="8"/>
  <c r="H48" i="8"/>
  <c r="I47" i="8"/>
  <c r="I46" i="8"/>
  <c r="H45" i="8"/>
  <c r="H39" i="8"/>
  <c r="E38" i="8"/>
  <c r="H38" i="8" s="1"/>
  <c r="I37" i="8"/>
  <c r="H37" i="8"/>
  <c r="H36" i="8"/>
  <c r="I34" i="8"/>
  <c r="E103" i="8"/>
  <c r="I103" i="8" s="1"/>
  <c r="I30" i="8"/>
  <c r="I27" i="8"/>
  <c r="I29" i="8"/>
  <c r="E26" i="8"/>
  <c r="H26" i="8" s="1"/>
  <c r="I25" i="8"/>
  <c r="I23" i="8"/>
  <c r="E24" i="8"/>
  <c r="I20" i="8"/>
  <c r="I19" i="8"/>
  <c r="K26" i="8"/>
  <c r="E111" i="7"/>
  <c r="I111" i="7" s="1"/>
  <c r="E109" i="7"/>
  <c r="E59" i="7"/>
  <c r="E60" i="7" s="1"/>
  <c r="I45" i="7"/>
  <c r="H92" i="7"/>
  <c r="E88" i="7"/>
  <c r="I88" i="7" s="1"/>
  <c r="H87" i="7"/>
  <c r="H89" i="7"/>
  <c r="K86" i="8" l="1"/>
  <c r="E104" i="8"/>
  <c r="I54" i="9"/>
  <c r="K81" i="9"/>
  <c r="K59" i="9"/>
  <c r="M59" i="9"/>
  <c r="M71" i="9"/>
  <c r="H100" i="9"/>
  <c r="I55" i="9"/>
  <c r="H42" i="9"/>
  <c r="H23" i="9"/>
  <c r="H30" i="9" s="1"/>
  <c r="I30" i="9"/>
  <c r="E99" i="9"/>
  <c r="I99" i="9" s="1"/>
  <c r="I96" i="9"/>
  <c r="I101" i="8"/>
  <c r="E44" i="8"/>
  <c r="H44" i="8" s="1"/>
  <c r="H50" i="8" s="1"/>
  <c r="I43" i="8"/>
  <c r="I50" i="8" s="1"/>
  <c r="K69" i="8"/>
  <c r="K55" i="8"/>
  <c r="M55" i="8" s="1"/>
  <c r="H68" i="8"/>
  <c r="H70" i="8"/>
  <c r="H72" i="8"/>
  <c r="E54" i="8"/>
  <c r="H54" i="8" s="1"/>
  <c r="I40" i="8"/>
  <c r="I24" i="8"/>
  <c r="I31" i="8" s="1"/>
  <c r="H24" i="8"/>
  <c r="H31" i="8" s="1"/>
  <c r="K71" i="8"/>
  <c r="E35" i="8"/>
  <c r="H35" i="8" s="1"/>
  <c r="H40" i="8" s="1"/>
  <c r="I96" i="8"/>
  <c r="L69" i="7"/>
  <c r="E84" i="7"/>
  <c r="H78" i="7"/>
  <c r="E76" i="7"/>
  <c r="E75" i="7"/>
  <c r="E74" i="7"/>
  <c r="E73" i="7"/>
  <c r="E72" i="7"/>
  <c r="E71" i="7"/>
  <c r="E80" i="7"/>
  <c r="H83" i="7"/>
  <c r="H81" i="7"/>
  <c r="E97" i="7"/>
  <c r="H77" i="7"/>
  <c r="E106" i="7"/>
  <c r="E104" i="7" s="1"/>
  <c r="E79" i="7"/>
  <c r="K100" i="7"/>
  <c r="K101" i="7"/>
  <c r="H101" i="7"/>
  <c r="K98" i="7"/>
  <c r="H98" i="7"/>
  <c r="I43" i="9" l="1"/>
  <c r="H104" i="9"/>
  <c r="I31" i="9"/>
  <c r="I100" i="9"/>
  <c r="I104" i="9" s="1"/>
  <c r="I104" i="8"/>
  <c r="I105" i="8" s="1"/>
  <c r="I109" i="8" s="1"/>
  <c r="M66" i="8"/>
  <c r="H105" i="8"/>
  <c r="I51" i="8"/>
  <c r="I41" i="8"/>
  <c r="I32" i="8"/>
  <c r="H51" i="7"/>
  <c r="I101" i="9" l="1"/>
  <c r="I106" i="8"/>
  <c r="I107" i="8" s="1"/>
  <c r="I108" i="8" s="1"/>
  <c r="I102" i="9" l="1"/>
  <c r="I103" i="9" s="1"/>
  <c r="E43" i="7"/>
  <c r="E40" i="7"/>
  <c r="E33" i="7" l="1"/>
  <c r="E110" i="7" s="1"/>
  <c r="I110" i="7" s="1"/>
  <c r="E25" i="7"/>
  <c r="E23" i="7"/>
  <c r="K20" i="7" s="1"/>
  <c r="K26" i="7" s="1"/>
  <c r="I109" i="7" l="1"/>
  <c r="H107" i="7"/>
  <c r="H106" i="7"/>
  <c r="I104" i="7"/>
  <c r="H103" i="7"/>
  <c r="H102" i="7"/>
  <c r="H100" i="7"/>
  <c r="K99" i="7"/>
  <c r="H99" i="7"/>
  <c r="H97" i="7"/>
  <c r="K96" i="7"/>
  <c r="H96" i="7"/>
  <c r="I95" i="7"/>
  <c r="H94" i="7"/>
  <c r="I93" i="7"/>
  <c r="H91" i="7"/>
  <c r="I90" i="7"/>
  <c r="H86" i="7"/>
  <c r="I85" i="7"/>
  <c r="H84" i="7"/>
  <c r="H82" i="7"/>
  <c r="H80" i="7"/>
  <c r="H79" i="7"/>
  <c r="K76" i="7"/>
  <c r="H76" i="7"/>
  <c r="K75" i="7"/>
  <c r="K74" i="7"/>
  <c r="H74" i="7"/>
  <c r="K73" i="7"/>
  <c r="K72" i="7"/>
  <c r="K71" i="7"/>
  <c r="K70" i="7"/>
  <c r="H70" i="7"/>
  <c r="I69" i="7"/>
  <c r="H68" i="7"/>
  <c r="H67" i="7"/>
  <c r="K66" i="7"/>
  <c r="K65" i="7"/>
  <c r="H65" i="7"/>
  <c r="K64" i="7"/>
  <c r="H64" i="7"/>
  <c r="K63" i="7"/>
  <c r="H63" i="7"/>
  <c r="K62" i="7"/>
  <c r="H62" i="7"/>
  <c r="I61" i="7"/>
  <c r="H60" i="7"/>
  <c r="I59" i="7"/>
  <c r="I55" i="7"/>
  <c r="H54" i="7"/>
  <c r="I53" i="7"/>
  <c r="I52" i="7"/>
  <c r="H50" i="7"/>
  <c r="I49" i="7"/>
  <c r="H44" i="7"/>
  <c r="H43" i="7"/>
  <c r="I42" i="7"/>
  <c r="H42" i="7"/>
  <c r="H41" i="7"/>
  <c r="H40" i="7"/>
  <c r="I39" i="7"/>
  <c r="H38" i="7"/>
  <c r="E37" i="7"/>
  <c r="H37" i="7" s="1"/>
  <c r="I36" i="7"/>
  <c r="H35" i="7"/>
  <c r="E34" i="7"/>
  <c r="H34" i="7" s="1"/>
  <c r="I33" i="7"/>
  <c r="I29" i="7"/>
  <c r="I27" i="7"/>
  <c r="E26" i="7"/>
  <c r="H26" i="7" s="1"/>
  <c r="I25" i="7"/>
  <c r="E24" i="7"/>
  <c r="I20" i="7"/>
  <c r="I19" i="7"/>
  <c r="K95" i="7" l="1"/>
  <c r="K61" i="7"/>
  <c r="M61" i="7" s="1"/>
  <c r="H73" i="7"/>
  <c r="K69" i="7"/>
  <c r="M69" i="7" s="1"/>
  <c r="H56" i="7"/>
  <c r="I56" i="7"/>
  <c r="I46" i="7"/>
  <c r="E112" i="7"/>
  <c r="I112" i="7" s="1"/>
  <c r="I108" i="7"/>
  <c r="H46" i="7"/>
  <c r="H24" i="7"/>
  <c r="H30" i="7" s="1"/>
  <c r="I24" i="7"/>
  <c r="H72" i="7"/>
  <c r="H75" i="7"/>
  <c r="I23" i="7"/>
  <c r="H66" i="7"/>
  <c r="H71" i="7"/>
  <c r="H105" i="7"/>
  <c r="I47" i="7" l="1"/>
  <c r="I57" i="7"/>
  <c r="H113" i="7"/>
  <c r="H117" i="7" s="1"/>
  <c r="I113" i="7"/>
  <c r="I30" i="7"/>
  <c r="I114" i="7" l="1"/>
  <c r="I117" i="7"/>
  <c r="I31" i="7"/>
  <c r="I115" i="7" l="1"/>
  <c r="I11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Сергиенко Елена Анатольевна</author>
  </authors>
  <commentList>
    <comment ref="L61" authorId="0" shapeId="0" xr:uid="{8E593D3B-58B8-407E-8A29-BF125E9584B5}">
      <text>
        <r>
          <rPr>
            <b/>
            <sz val="9"/>
            <color indexed="81"/>
            <rFont val="Tahoma"/>
            <family val="2"/>
            <charset val="204"/>
          </rPr>
          <t>Сергиенко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объем бетона на лоток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Сергиенко Елена Анатольевна</author>
  </authors>
  <commentList>
    <comment ref="L55" authorId="0" shapeId="0" xr:uid="{26D553D5-BA3A-4B3E-87F7-993856318D5C}">
      <text>
        <r>
          <rPr>
            <b/>
            <sz val="9"/>
            <color indexed="81"/>
            <rFont val="Tahoma"/>
            <family val="2"/>
            <charset val="204"/>
          </rPr>
          <t>Сергиенко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объем бетона на лоток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Сергиенко Елена Анатольевна</author>
  </authors>
  <commentList>
    <comment ref="L59" authorId="0" shapeId="0" xr:uid="{7E334710-C898-45BF-A38B-0C6CBBE4315C}">
      <text>
        <r>
          <rPr>
            <b/>
            <sz val="9"/>
            <color indexed="81"/>
            <rFont val="Tahoma"/>
            <family val="2"/>
            <charset val="204"/>
          </rPr>
          <t>Сергиенко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объем бетона на лоток
</t>
        </r>
      </text>
    </comment>
  </commentList>
</comments>
</file>

<file path=xl/sharedStrings.xml><?xml version="1.0" encoding="utf-8"?>
<sst xmlns="http://schemas.openxmlformats.org/spreadsheetml/2006/main" count="1337" uniqueCount="221">
  <si>
    <t>№</t>
  </si>
  <si>
    <t>Наименование работ, затрат</t>
  </si>
  <si>
    <t>Ед. изм.</t>
  </si>
  <si>
    <t>Кол-во</t>
  </si>
  <si>
    <t>Цена за ед.изм., руб.</t>
  </si>
  <si>
    <t>Общая стоимость, руб.</t>
  </si>
  <si>
    <t>работа</t>
  </si>
  <si>
    <t>Договорная цена</t>
  </si>
  <si>
    <t>м3</t>
  </si>
  <si>
    <t>Устройство основания: песчаного с уплотнением</t>
  </si>
  <si>
    <t>6.1</t>
  </si>
  <si>
    <t>цена поставки</t>
  </si>
  <si>
    <t>Песок для строительных работ природный, карьерный (с учетом доставки поставщиком)</t>
  </si>
  <si>
    <t>7.1</t>
  </si>
  <si>
    <t>Уплотнение грунта пневматическими трамбовками, группа грунтов: 1, 2</t>
  </si>
  <si>
    <t>Планировка площадей траншеи</t>
  </si>
  <si>
    <t>ИТОГО :</t>
  </si>
  <si>
    <t>ИТОГО ПО РАЗДЕЛУ:</t>
  </si>
  <si>
    <t>1</t>
  </si>
  <si>
    <t>м</t>
  </si>
  <si>
    <t>1.1</t>
  </si>
  <si>
    <t>2</t>
  </si>
  <si>
    <t>2.1</t>
  </si>
  <si>
    <t>2.2</t>
  </si>
  <si>
    <t>шт</t>
  </si>
  <si>
    <t>4.1</t>
  </si>
  <si>
    <t>4.2</t>
  </si>
  <si>
    <t>5.1</t>
  </si>
  <si>
    <t>3</t>
  </si>
  <si>
    <t>3.1</t>
  </si>
  <si>
    <t>4</t>
  </si>
  <si>
    <t>т</t>
  </si>
  <si>
    <t>4.3</t>
  </si>
  <si>
    <t>6.4</t>
  </si>
  <si>
    <t>4.4</t>
  </si>
  <si>
    <t>5</t>
  </si>
  <si>
    <t>6</t>
  </si>
  <si>
    <t>7</t>
  </si>
  <si>
    <t>8</t>
  </si>
  <si>
    <t>Пробивка отверстий в ж/б стенах h=250 мм, 400*400 под выпуски</t>
  </si>
  <si>
    <t>9</t>
  </si>
  <si>
    <t>6.2</t>
  </si>
  <si>
    <t>8.1</t>
  </si>
  <si>
    <t>8.2</t>
  </si>
  <si>
    <t>материалы</t>
  </si>
  <si>
    <t>м2</t>
  </si>
  <si>
    <t>10</t>
  </si>
  <si>
    <t>11</t>
  </si>
  <si>
    <t>12</t>
  </si>
  <si>
    <t>13</t>
  </si>
  <si>
    <t>Чертежи: 14/П-14-V-НВК</t>
  </si>
  <si>
    <t>Обоснованеи затрат</t>
  </si>
  <si>
    <t>Земляные работы</t>
  </si>
  <si>
    <r>
      <t>м</t>
    </r>
    <r>
      <rPr>
        <b/>
        <vertAlign val="superscript"/>
        <sz val="10"/>
        <color indexed="8"/>
        <rFont val="Times New Roman"/>
        <family val="1"/>
        <charset val="204"/>
      </rPr>
      <t>3</t>
    </r>
  </si>
  <si>
    <t>Разработка грунта вручную в траншеях глубиной до 2 м без креплений с откосами, группа грунтов: 2</t>
  </si>
  <si>
    <t xml:space="preserve">Засыпка траншей и котлованов с перемещением грунта до 5 м бульдозерами мощностью: 79 (108) кВт (л.с.),1 группа грунтов </t>
  </si>
  <si>
    <t xml:space="preserve">Трубопроводы хозяйственно-бытовой канализации канализации </t>
  </si>
  <si>
    <t>1.3</t>
  </si>
  <si>
    <t>3.2</t>
  </si>
  <si>
    <t>Прокладка в траншеях трубопроводов из чугунных канализационных труб диаметром: 100 мм</t>
  </si>
  <si>
    <t>Установка сальников</t>
  </si>
  <si>
    <t>Сальник под выпуск (набивной по серии 5.900-2) 250 мм, 18,8 кг</t>
  </si>
  <si>
    <t>Заделка сальников</t>
  </si>
  <si>
    <t>Устройство основания: щебеночного 0,2м под ж/б колодец</t>
  </si>
  <si>
    <t>Щебень из природного камня для строительных работ марка 400, фракция 40-70 мм</t>
  </si>
  <si>
    <t>Плита днища ПН10, объем 0,18 м3</t>
  </si>
  <si>
    <t>Кольцо стеновое смотровых колодцев КС10.9, объем 0,24 м3</t>
  </si>
  <si>
    <t>2.3</t>
  </si>
  <si>
    <t>Кольцо стеновое смотровых колодцев КС10.6, объем 0,16 м3</t>
  </si>
  <si>
    <t>2.4</t>
  </si>
  <si>
    <t>Плита перекрытия ПП10-2, объем 0,10 м3</t>
  </si>
  <si>
    <t>2.5</t>
  </si>
  <si>
    <t>Кольцо опорное КО-6, объем 0,02 м3</t>
  </si>
  <si>
    <t>2.6</t>
  </si>
  <si>
    <t>Скобы ходовые</t>
  </si>
  <si>
    <t>Плита днища ПН15, объем 0,38 м3</t>
  </si>
  <si>
    <t>Кольцо стеновое смотровых колодцев КС15.6, объем 0,265 м3</t>
  </si>
  <si>
    <t>3.3</t>
  </si>
  <si>
    <t>Кольцо стеновое смотровых колодцев КС15.9, объем 0,40 м3</t>
  </si>
  <si>
    <t>3.4</t>
  </si>
  <si>
    <t>Плита перекрытия 1ПП15-2 объем 0,27 м3</t>
  </si>
  <si>
    <t>3.5</t>
  </si>
  <si>
    <t>3.6</t>
  </si>
  <si>
    <t xml:space="preserve">Установка люков </t>
  </si>
  <si>
    <t>Люк чугунный тяжелый тип Т (С250)-К.2-60</t>
  </si>
  <si>
    <t xml:space="preserve">Телевизионное инспекционное обследование трубопровода </t>
  </si>
  <si>
    <t>в том числе НДС 20%</t>
  </si>
  <si>
    <t>Трубы из высокопрочного чугуна с шаровидным графитом с внутренним цементным покрытием, марка ЧШГ, диаметр 100 мм</t>
  </si>
  <si>
    <t xml:space="preserve">Муфта для прохода стены колодца трубой ВЧШГ ∅100 </t>
  </si>
  <si>
    <t>Стремянка С1-01</t>
  </si>
  <si>
    <t>Стремянка С1-02</t>
  </si>
  <si>
    <t>Стремянка С1-04</t>
  </si>
  <si>
    <t>Стремянка С1-03</t>
  </si>
  <si>
    <t>выемка</t>
  </si>
  <si>
    <t>Укладка трубопроводов из двухслойных гофрированных полиэтиленовых труб диаметром: до 250 мм</t>
  </si>
  <si>
    <t>Трубопровод из труб двухслойных гофрированных безнапорных ПЭ КОРСИС DN/OD 250 SN8</t>
  </si>
  <si>
    <t>Муфта защитная для прохода труб 250 мм сквозь бетонные кольца</t>
  </si>
  <si>
    <t>Засыпка  траншей, пазух котлованов и ям, группа грунтов: 1 с уплотнением</t>
  </si>
  <si>
    <t>Укладка трубопроводов из полиэтиленовых труб диаметром: 300 мм</t>
  </si>
  <si>
    <t>Кольцо стеновое смотровых колодцев КС7.3 объем 0,05 м3</t>
  </si>
  <si>
    <t>Стремянка С1-00</t>
  </si>
  <si>
    <t>Стремянка С1-06</t>
  </si>
  <si>
    <t>Стремянка С1-07</t>
  </si>
  <si>
    <t>Люк дождеприемный С250 круглый тип "ДБ2"</t>
  </si>
  <si>
    <t>Люк чугунный легкий тип Л (А150)-К.2-62</t>
  </si>
  <si>
    <t xml:space="preserve">Скоба ходовая </t>
  </si>
  <si>
    <t>Плита ПД6, объем 0,85м3</t>
  </si>
  <si>
    <t>4.5</t>
  </si>
  <si>
    <t>4.6</t>
  </si>
  <si>
    <t>4.7</t>
  </si>
  <si>
    <t>Стремянка С1-08</t>
  </si>
  <si>
    <t>3.7</t>
  </si>
  <si>
    <t>3.8</t>
  </si>
  <si>
    <t>3.9</t>
  </si>
  <si>
    <t>3.10</t>
  </si>
  <si>
    <t>3.11</t>
  </si>
  <si>
    <t>Трубопровод из труб ВЧШГ Ø100</t>
  </si>
  <si>
    <t>Установка полиэтиленовых фасонных частей: отводов, колен, патрубков, переходов</t>
  </si>
  <si>
    <t>Промывка  трубопроводов диаметром: до 200 мм</t>
  </si>
  <si>
    <t>Промывка  трубопроводов диаметром: 300 мм</t>
  </si>
  <si>
    <t>1.2</t>
  </si>
  <si>
    <t>Стремянка С1-05</t>
  </si>
  <si>
    <t>УСТРОЙСТВО НАРУЖНОЙ СЕТИ ЛИВНЕВОЙ КАНАЛИЗАЦИИ КАНАЛИЗАЦИИ</t>
  </si>
  <si>
    <t>Укладка трубопроводов из двухслойных гофрированных полиэтиленовых труб диаметром: до 400 мм</t>
  </si>
  <si>
    <t>Трубопровод из труб двухслойных гофрированных безнапорных ПЭ КОРСИС DN/OD 400 SN8</t>
  </si>
  <si>
    <t>Муфта защитная для прохода труб 400 мм сквозь бетонные кольца</t>
  </si>
  <si>
    <t>Укладка трубопроводов из двухслойных гофрированных полиэтиленовых труб диаметром: 600 мм</t>
  </si>
  <si>
    <t>Трубопровод из труб двухслойных гофрированных безнапорных ПЭ КОРСИС DN/OD 600  SN8</t>
  </si>
  <si>
    <t>Муфта защитная для прохода труб 600 мм сквозь бетонные кольца</t>
  </si>
  <si>
    <t>Трасса 22 корпуса</t>
  </si>
  <si>
    <t xml:space="preserve">Выпуски ливневой канализации </t>
  </si>
  <si>
    <t>Колодцы ливневой канализации К2</t>
  </si>
  <si>
    <t>2.7</t>
  </si>
  <si>
    <t>2.8</t>
  </si>
  <si>
    <t>Устройство круглых сборных железобетонных канализационных колодцев диаметром: 1 м в грунтах мокрых (1 штК92)</t>
  </si>
  <si>
    <r>
      <t xml:space="preserve">Устройство круглых дождеприемных колодцев для дождевой канализации из сборного железобетона диаметром 1,0 м: в грунтах мокрых </t>
    </r>
    <r>
      <rPr>
        <sz val="10"/>
        <color theme="1"/>
        <rFont val="Times New Roman"/>
        <family val="1"/>
        <charset val="204"/>
      </rPr>
      <t>(Д2,Д11,Д12)</t>
    </r>
  </si>
  <si>
    <t>Кольцо стеновое смотровых колодцев КС10.9, объем 0,24 м4</t>
  </si>
  <si>
    <t>Устройство круглых сборных железобетонных канализационных колодцев диаметром: 1,5 м в грунтах мокрых(11шт)</t>
  </si>
  <si>
    <t>3.12</t>
  </si>
  <si>
    <t>3.13</t>
  </si>
  <si>
    <t>3.14</t>
  </si>
  <si>
    <t>3.15</t>
  </si>
  <si>
    <t>Прокладка по стенам зданий и в каналах труб чугунных напорных раструбных диаметром: 100 мм</t>
  </si>
  <si>
    <t>Хомуты крепления</t>
  </si>
  <si>
    <t>Трубопровод из труб двухслойных гофрированных безнапорных ПЭ КОРСИС ПРО DN/OD 250</t>
  </si>
  <si>
    <t>Отвод ВЧШГ 90º DN 100</t>
  </si>
  <si>
    <t>Установка фасонных частей чугунных напорных диаметром: 100 мм</t>
  </si>
  <si>
    <t>Переход эксцентрический ПЭ КОРСИС ПРО SN16 DN/OD 315х250</t>
  </si>
  <si>
    <t>Прокладка трубопроводов из двухслойных гофрированных полиэтиленовых труб диаметром: до 250 мм</t>
  </si>
  <si>
    <t>Присоединение канализационных трубопроводов к существующей сети в грунтах: мокрых</t>
  </si>
  <si>
    <t>Промывка  трубопроводов диаметром: 400 мм</t>
  </si>
  <si>
    <t>Промывка  трубопроводов диаметром:600 мм</t>
  </si>
  <si>
    <t>ИТОГО ПО КП:</t>
  </si>
  <si>
    <t>8.3</t>
  </si>
  <si>
    <t>8.4</t>
  </si>
  <si>
    <t>8.5</t>
  </si>
  <si>
    <t>8.6</t>
  </si>
  <si>
    <t>8.7</t>
  </si>
  <si>
    <t>8.8</t>
  </si>
  <si>
    <t>9.1</t>
  </si>
  <si>
    <t>9.2</t>
  </si>
  <si>
    <t>9.3</t>
  </si>
  <si>
    <t>14</t>
  </si>
  <si>
    <t>песок</t>
  </si>
  <si>
    <t>щебень</t>
  </si>
  <si>
    <t>на утилизацию</t>
  </si>
  <si>
    <t>Устройство круглых сборных железобетонных канализационных колодцев диаметром: 1 м в грунтах мокрых (5 шт)</t>
  </si>
  <si>
    <t xml:space="preserve">Устройство круглых дождеприемных колодцев для дождевой канализации из сборного железобетона диаметром 1,0 м: в грунтах мокрых </t>
  </si>
  <si>
    <t>Устройство круглых сборных железобетонных канализационных колодцев диаметром: 1,5 м в грунтах мокрых(6шт)</t>
  </si>
  <si>
    <t>Люк средний С (В125)</t>
  </si>
  <si>
    <t>К1м</t>
  </si>
  <si>
    <t>К1,5м</t>
  </si>
  <si>
    <t>Набивка сальников</t>
  </si>
  <si>
    <t>Укладка трубопровода из полиэтиленовых труб диаметром до 400 мм</t>
  </si>
  <si>
    <t>Труба из напорного полиэтилена ПЭ 100 SDR 13.6 – Ø355 х 26,1 техническая (футляр)</t>
  </si>
  <si>
    <t>Устройство круглых дождеприемных колодцев для дождевой канализации из сборного железобетона диаметром 1,0 м: в грунтах мокрых (Д6,Д33,Д34,Д35,Д37,Д38=6ШТ)</t>
  </si>
  <si>
    <t>Устройство круглых сборных железобетонных канализационных колодцев диаметром: 1,5 м в грунтах мокрых(3шт, К9,8,7)</t>
  </si>
  <si>
    <t>Устройство круглых сборных железобетонных канализационных колодцев диаметром: 1 м в грунтах мокрых (14 шт)</t>
  </si>
  <si>
    <t>2.9</t>
  </si>
  <si>
    <t>2.10</t>
  </si>
  <si>
    <t>2.11</t>
  </si>
  <si>
    <t>Устройство дорог из сборных железобетонных плит площадью: более 3 м2</t>
  </si>
  <si>
    <t>Плита дорожная ПД6, объем 0,85</t>
  </si>
  <si>
    <t>колодцы</t>
  </si>
  <si>
    <t>плиты</t>
  </si>
  <si>
    <t>трубы</t>
  </si>
  <si>
    <t>Погрузка грунта</t>
  </si>
  <si>
    <t>Перевозка грунта на расстояние до 1 км</t>
  </si>
  <si>
    <t xml:space="preserve">Трубопроводы ливневой канализации </t>
  </si>
  <si>
    <t>6.3</t>
  </si>
  <si>
    <t>КОММЕРЧЕСКОЕ ПРЕДЛОЖЕНИЕ  № 3/23</t>
  </si>
  <si>
    <t xml:space="preserve">УСТРОЙСТВО НАРУЖНОЙ СЕТИ ЛИВНЕВОЙ КАНАЛИЗАЦИИ </t>
  </si>
  <si>
    <t>Наименование организации-участника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</si>
  <si>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Многоквартирный жилой дом стр. поз. 19</t>
  </si>
  <si>
    <t>от К11(без учета колодца) до К64, включая колодцы Д38,37,36; от К9(без учета колодца) до К7, включая Д6; от К7 до К59, включая К73, 74, Д35, выпуски стр. позиции №19, от К59 до К69, включая Д34, отК59 до К58, включая Д33</t>
  </si>
  <si>
    <t>Трасса 19 корпуса:</t>
  </si>
  <si>
    <t>КОММЕРЧЕСКОЕ ПРЕДЛОЖЕНИЕ  № 4/19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</si>
  <si>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47:07:0713003:912).Наземная автостоянка. Корпус 23.</t>
  </si>
  <si>
    <t>труба</t>
  </si>
  <si>
    <t>Трасса 23 корпуса:</t>
  </si>
  <si>
    <t>от К15(без колодца)-К14-К13, Д9, К15-К94 с выпуском и Д10, К13-К9, включая Д8,7</t>
  </si>
  <si>
    <t>10.1</t>
  </si>
  <si>
    <t>10.2</t>
  </si>
  <si>
    <t>10.3</t>
  </si>
  <si>
    <t>10.4</t>
  </si>
  <si>
    <t>КОММЕРЧЕСКОЕ ПРЕДЛОЖЕНИЕ  № 1/22</t>
  </si>
  <si>
    <t>Наименование организации- участника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</si>
  <si>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Наземная автостоянка. Корпус 22.</t>
  </si>
  <si>
    <t>КОММЕРЧЕСКОЕ ПРЕДЛОЖЕНИЕ  № 2/20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</si>
  <si>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Многоквартирный жилой дом стр. поз. 20</t>
  </si>
  <si>
    <t>Трасса 20 корпуса:</t>
  </si>
  <si>
    <t>от К91(без учета колодца) до К88, включая колодцы Д39,40 и выпуски</t>
  </si>
  <si>
    <t>Разработка грунта в траншеях экскаватором "обратная лопата" с ковшом вместимостью 0,65 (0,5-1) м3, с погрузкой в автомобили-самосвалы группа грунтов: 2</t>
  </si>
  <si>
    <t>Устройство круглых дождеприемных колодцев для дождевой канализации из сборного железобетона диаметром 1,0 м: в грунтах мокрых (Д39,40)</t>
  </si>
  <si>
    <t>Устройство круглых сборных железобетонных канализационных колодцев диаметром: 1,5 м в грунтах мокрых(3шт, К88,89,90)</t>
  </si>
  <si>
    <t>Трубопровод из труб двухслойных гофрированных безнапорных ПЭ КОРСИС DN/OD 315 Р SN8</t>
  </si>
  <si>
    <t>К46с-47-22-21-20-19-17-доК15, К19-К18-К91-К92-выпуск, К93-Д2 К93-выпуск К13-2, К47 - К39(включая колодец).</t>
  </si>
  <si>
    <t>Укладка трубопроводов из двухслойных гофрированных полиэтиленовых труб диаметром: до 300 мм</t>
  </si>
  <si>
    <t>Трубопровод из труб двухслойных гофрированныхбезнапорных ПЭ КОРСИС DN/OD 315 Р SN8</t>
  </si>
  <si>
    <t>Муфта для прохода стены колодца трубой ПЭ Корсис∅315 с эластичными манжетами</t>
  </si>
  <si>
    <t>Укладка трубопроводов из двухслойных гофрированных полиэтиленовых труб диаметром:300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</si>
</sst>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vertAlign val="superscript"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righ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" fontId="1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6" fillId="0" borderId="41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9" fillId="0" borderId="27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49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right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4" fontId="5" fillId="0" borderId="49" xfId="0" applyNumberFormat="1" applyFont="1" applyBorder="1" applyAlignment="1">
      <alignment horizontal="center" vertical="center" wrapText="1"/>
    </xf>
    <xf numFmtId="4" fontId="5" fillId="0" borderId="50" xfId="0" applyNumberFormat="1" applyFont="1" applyBorder="1" applyAlignment="1">
      <alignment horizontal="center" vertical="center" wrapText="1"/>
    </xf>
    <xf numFmtId="4" fontId="5" fillId="0" borderId="33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" fontId="5" fillId="0" borderId="47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4" fontId="7" fillId="0" borderId="29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4" fontId="13" fillId="0" borderId="40" xfId="0" applyNumberFormat="1" applyFont="1" applyBorder="1" applyAlignment="1">
      <alignment horizontal="center" vertical="center" wrapText="1"/>
    </xf>
    <xf numFmtId="49" fontId="7" fillId="0" borderId="42" xfId="0" applyNumberFormat="1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49" fontId="18" fillId="0" borderId="33" xfId="0" applyNumberFormat="1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right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4" fontId="3" fillId="0" borderId="49" xfId="0" applyNumberFormat="1" applyFont="1" applyBorder="1" applyAlignment="1">
      <alignment horizontal="center" vertical="center" wrapText="1"/>
    </xf>
    <xf numFmtId="4" fontId="3" fillId="0" borderId="50" xfId="0" applyNumberFormat="1" applyFont="1" applyBorder="1" applyAlignment="1">
      <alignment horizontal="center" vertical="center" wrapText="1"/>
    </xf>
    <xf numFmtId="4" fontId="14" fillId="0" borderId="5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6" fillId="0" borderId="38" xfId="0" applyNumberFormat="1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4" fontId="6" fillId="0" borderId="21" xfId="0" applyNumberFormat="1" applyFont="1" applyFill="1" applyBorder="1" applyAlignment="1">
      <alignment horizontal="center" vertical="center" wrapText="1"/>
    </xf>
    <xf numFmtId="4" fontId="5" fillId="0" borderId="22" xfId="0" applyNumberFormat="1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center" vertical="center" wrapText="1"/>
    </xf>
    <xf numFmtId="4" fontId="6" fillId="0" borderId="27" xfId="0" applyNumberFormat="1" applyFont="1" applyFill="1" applyBorder="1" applyAlignment="1">
      <alignment horizontal="center" vertical="center" wrapText="1"/>
    </xf>
    <xf numFmtId="4" fontId="1" fillId="0" borderId="43" xfId="0" applyNumberFormat="1" applyFont="1" applyFill="1" applyBorder="1" applyAlignment="1">
      <alignment horizontal="center" vertical="center" wrapText="1"/>
    </xf>
    <xf numFmtId="4" fontId="5" fillId="0" borderId="27" xfId="0" applyNumberFormat="1" applyFont="1" applyFill="1" applyBorder="1" applyAlignment="1">
      <alignment horizontal="center" vertical="center" wrapText="1"/>
    </xf>
    <xf numFmtId="4" fontId="1" fillId="0" borderId="25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4" fontId="6" fillId="0" borderId="53" xfId="0" applyNumberFormat="1" applyFont="1" applyFill="1" applyBorder="1" applyAlignment="1">
      <alignment horizontal="center" vertical="center" wrapText="1"/>
    </xf>
    <xf numFmtId="4" fontId="5" fillId="0" borderId="18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4" fontId="7" fillId="0" borderId="53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" fontId="4" fillId="0" borderId="18" xfId="0" applyNumberFormat="1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4" fontId="7" fillId="0" borderId="59" xfId="0" applyNumberFormat="1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 wrapText="1"/>
    </xf>
    <xf numFmtId="4" fontId="5" fillId="0" borderId="24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wrapText="1"/>
    </xf>
    <xf numFmtId="4" fontId="4" fillId="0" borderId="24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49" fontId="7" fillId="0" borderId="45" xfId="0" applyNumberFormat="1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1" fillId="0" borderId="45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49" fontId="6" fillId="0" borderId="45" xfId="0" applyNumberFormat="1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" fontId="5" fillId="0" borderId="45" xfId="0" applyNumberFormat="1" applyFont="1" applyFill="1" applyBorder="1" applyAlignment="1">
      <alignment horizontal="center" vertical="center" wrapText="1"/>
    </xf>
    <xf numFmtId="4" fontId="1" fillId="0" borderId="60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Fill="1" applyBorder="1" applyAlignment="1">
      <alignment horizontal="center" vertical="center" wrapText="1"/>
    </xf>
    <xf numFmtId="4" fontId="1" fillId="0" borderId="37" xfId="0" applyNumberFormat="1" applyFont="1" applyFill="1" applyBorder="1" applyAlignment="1">
      <alignment horizontal="center" vertical="center" wrapText="1"/>
    </xf>
    <xf numFmtId="4" fontId="5" fillId="0" borderId="37" xfId="0" applyNumberFormat="1" applyFont="1" applyFill="1" applyBorder="1" applyAlignment="1">
      <alignment horizontal="center" vertical="center" wrapText="1"/>
    </xf>
    <xf numFmtId="4" fontId="5" fillId="0" borderId="35" xfId="0" applyNumberFormat="1" applyFont="1" applyFill="1" applyBorder="1" applyAlignment="1">
      <alignment horizontal="center" vertical="center" wrapText="1"/>
    </xf>
    <xf numFmtId="4" fontId="1" fillId="0" borderId="35" xfId="0" applyNumberFormat="1" applyFont="1" applyFill="1" applyBorder="1" applyAlignment="1">
      <alignment horizontal="center" vertical="center" wrapText="1"/>
    </xf>
    <xf numFmtId="4" fontId="1" fillId="0" borderId="17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4" fontId="1" fillId="0" borderId="36" xfId="0" applyNumberFormat="1" applyFont="1" applyFill="1" applyBorder="1" applyAlignment="1">
      <alignment horizontal="center" vertical="center" wrapText="1"/>
    </xf>
    <xf numFmtId="4" fontId="5" fillId="0" borderId="36" xfId="0" applyNumberFormat="1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4" fontId="5" fillId="0" borderId="58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4" fontId="1" fillId="0" borderId="58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4" fontId="6" fillId="0" borderId="20" xfId="0" applyNumberFormat="1" applyFont="1" applyFill="1" applyBorder="1" applyAlignment="1">
      <alignment horizontal="center" vertical="center" wrapText="1"/>
    </xf>
    <xf numFmtId="4" fontId="12" fillId="0" borderId="45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2" fillId="0" borderId="22" xfId="0" applyNumberFormat="1" applyFont="1" applyFill="1" applyBorder="1" applyAlignment="1">
      <alignment horizontal="center" vertical="center" wrapText="1"/>
    </xf>
    <xf numFmtId="49" fontId="6" fillId="0" borderId="39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horizontal="center" vertical="center" wrapText="1"/>
    </xf>
    <xf numFmtId="4" fontId="6" fillId="0" borderId="39" xfId="0" applyNumberFormat="1" applyFont="1" applyFill="1" applyBorder="1" applyAlignment="1">
      <alignment horizontal="center" vertical="center" wrapText="1"/>
    </xf>
    <xf numFmtId="4" fontId="5" fillId="0" borderId="61" xfId="0" applyNumberFormat="1" applyFont="1" applyFill="1" applyBorder="1" applyAlignment="1">
      <alignment horizontal="center" vertical="center" wrapText="1"/>
    </xf>
    <xf numFmtId="4" fontId="5" fillId="0" borderId="38" xfId="0" applyNumberFormat="1" applyFont="1" applyFill="1" applyBorder="1" applyAlignment="1">
      <alignment horizontal="center" vertical="center" wrapText="1"/>
    </xf>
    <xf numFmtId="4" fontId="12" fillId="0" borderId="28" xfId="0" applyNumberFormat="1" applyFont="1" applyFill="1" applyBorder="1" applyAlignment="1">
      <alignment horizontal="center" vertical="center" wrapText="1"/>
    </xf>
    <xf numFmtId="4" fontId="13" fillId="0" borderId="29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right" vertical="center" wrapText="1"/>
    </xf>
    <xf numFmtId="4" fontId="1" fillId="0" borderId="62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 wrapText="1"/>
    </xf>
    <xf numFmtId="4" fontId="13" fillId="0" borderId="13" xfId="0" applyNumberFormat="1" applyFont="1" applyFill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49" fontId="6" fillId="0" borderId="49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right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4" fontId="5" fillId="0" borderId="47" xfId="0" applyNumberFormat="1" applyFont="1" applyFill="1" applyBorder="1" applyAlignment="1">
      <alignment horizontal="center" vertical="center" wrapText="1"/>
    </xf>
    <xf numFmtId="4" fontId="5" fillId="0" borderId="42" xfId="0" applyNumberFormat="1" applyFont="1" applyFill="1" applyBorder="1" applyAlignment="1">
      <alignment horizontal="center" vertical="center" wrapText="1"/>
    </xf>
    <xf numFmtId="4" fontId="13" fillId="0" borderId="47" xfId="0" applyNumberFormat="1" applyFont="1" applyFill="1" applyBorder="1" applyAlignment="1">
      <alignment horizontal="center" vertical="center" wrapText="1"/>
    </xf>
    <xf numFmtId="4" fontId="13" fillId="0" borderId="4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5" fillId="0" borderId="49" xfId="0" applyNumberFormat="1" applyFont="1" applyFill="1" applyBorder="1" applyAlignment="1">
      <alignment horizontal="center" vertical="center" wrapText="1"/>
    </xf>
    <xf numFmtId="4" fontId="5" fillId="0" borderId="50" xfId="0" applyNumberFormat="1" applyFont="1" applyFill="1" applyBorder="1" applyAlignment="1">
      <alignment horizontal="center" vertical="center" wrapText="1"/>
    </xf>
    <xf numFmtId="4" fontId="5" fillId="0" borderId="33" xfId="0" applyNumberFormat="1" applyFont="1" applyFill="1" applyBorder="1" applyAlignment="1">
      <alignment horizontal="center" vertical="center" wrapText="1"/>
    </xf>
    <xf numFmtId="49" fontId="6" fillId="0" borderId="44" xfId="0" applyNumberFormat="1" applyFont="1" applyFill="1" applyBorder="1" applyAlignment="1">
      <alignment horizontal="center" vertical="center" wrapText="1"/>
    </xf>
    <xf numFmtId="49" fontId="6" fillId="0" borderId="47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right" vertical="center" wrapText="1"/>
    </xf>
    <xf numFmtId="0" fontId="6" fillId="0" borderId="32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0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19" xfId="0" applyNumberFormat="1" applyFont="1" applyFill="1" applyBorder="1" applyAlignment="1">
      <alignment horizontal="center" vertical="center" wrapText="1"/>
    </xf>
    <xf numFmtId="4" fontId="10" fillId="0" borderId="21" xfId="0" applyNumberFormat="1" applyFont="1" applyFill="1" applyBorder="1" applyAlignment="1">
      <alignment horizontal="center" vertical="center" wrapText="1"/>
    </xf>
    <xf numFmtId="4" fontId="10" fillId="0" borderId="22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 wrapText="1"/>
    </xf>
    <xf numFmtId="49" fontId="6" fillId="0" borderId="38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center" vertical="center" wrapText="1"/>
    </xf>
    <xf numFmtId="4" fontId="5" fillId="0" borderId="30" xfId="0" applyNumberFormat="1" applyFont="1" applyFill="1" applyBorder="1" applyAlignment="1">
      <alignment horizontal="center" vertical="center" wrapText="1"/>
    </xf>
    <xf numFmtId="4" fontId="5" fillId="0" borderId="29" xfId="0" applyNumberFormat="1" applyFont="1" applyFill="1" applyBorder="1" applyAlignment="1">
      <alignment horizontal="center" vertical="center" wrapText="1"/>
    </xf>
    <xf numFmtId="4" fontId="5" fillId="0" borderId="28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horizontal="center" vertical="center" wrapText="1"/>
    </xf>
    <xf numFmtId="3" fontId="7" fillId="0" borderId="38" xfId="0" applyNumberFormat="1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4" fontId="1" fillId="0" borderId="28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49" fontId="9" fillId="0" borderId="63" xfId="0" applyNumberFormat="1" applyFont="1" applyFill="1" applyBorder="1" applyAlignment="1">
      <alignment horizontal="center" vertical="center" wrapText="1"/>
    </xf>
    <xf numFmtId="0" fontId="9" fillId="0" borderId="63" xfId="0" applyFont="1" applyFill="1" applyBorder="1" applyAlignment="1">
      <alignment vertical="center" wrapText="1"/>
    </xf>
    <xf numFmtId="0" fontId="9" fillId="0" borderId="63" xfId="0" applyFont="1" applyFill="1" applyBorder="1" applyAlignment="1">
      <alignment horizontal="center" vertical="center" wrapText="1"/>
    </xf>
    <xf numFmtId="3" fontId="9" fillId="0" borderId="23" xfId="0" applyNumberFormat="1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center" vertical="center" wrapText="1"/>
    </xf>
    <xf numFmtId="4" fontId="5" fillId="0" borderId="4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3" fillId="0" borderId="40" xfId="0" applyNumberFormat="1" applyFont="1" applyFill="1" applyBorder="1" applyAlignment="1">
      <alignment horizontal="center" vertical="center" wrapText="1"/>
    </xf>
    <xf numFmtId="49" fontId="7" fillId="0" borderId="42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1" fillId="0" borderId="4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4" fontId="13" fillId="0" borderId="64" xfId="0" applyNumberFormat="1" applyFont="1" applyFill="1" applyBorder="1" applyAlignment="1">
      <alignment horizontal="center" vertical="center" wrapText="1"/>
    </xf>
    <xf numFmtId="4" fontId="13" fillId="0" borderId="65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7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4" fontId="15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16" fillId="0" borderId="41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0" fillId="0" borderId="41" xfId="0" applyFill="1" applyBorder="1" applyAlignment="1">
      <alignment vertical="center" wrapText="1"/>
    </xf>
    <xf numFmtId="0" fontId="0" fillId="0" borderId="48" xfId="0" applyFill="1" applyBorder="1" applyAlignment="1">
      <alignment vertical="center" wrapText="1"/>
    </xf>
    <xf numFmtId="49" fontId="23" fillId="0" borderId="19" xfId="0" applyNumberFormat="1" applyFont="1" applyFill="1" applyBorder="1" applyAlignment="1">
      <alignment horizontal="center" vertical="center" wrapText="1"/>
    </xf>
    <xf numFmtId="49" fontId="23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horizontal="center" vertical="center" wrapText="1"/>
    </xf>
    <xf numFmtId="4" fontId="23" fillId="0" borderId="18" xfId="0" applyNumberFormat="1" applyFont="1" applyFill="1" applyBorder="1" applyAlignment="1">
      <alignment horizontal="center" vertical="center" wrapText="1"/>
    </xf>
    <xf numFmtId="4" fontId="26" fillId="0" borderId="22" xfId="0" applyNumberFormat="1" applyFont="1" applyFill="1" applyBorder="1" applyAlignment="1">
      <alignment horizontal="center" vertical="center" wrapText="1"/>
    </xf>
    <xf numFmtId="4" fontId="26" fillId="0" borderId="18" xfId="0" applyNumberFormat="1" applyFont="1" applyFill="1" applyBorder="1" applyAlignment="1">
      <alignment horizontal="center" vertical="center" wrapText="1"/>
    </xf>
    <xf numFmtId="49" fontId="6" fillId="0" borderId="55" xfId="0" applyNumberFormat="1" applyFont="1" applyFill="1" applyBorder="1" applyAlignment="1">
      <alignment horizontal="center" vertical="center" wrapText="1"/>
    </xf>
    <xf numFmtId="49" fontId="6" fillId="0" borderId="56" xfId="0" applyNumberFormat="1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vertical="center" wrapText="1"/>
    </xf>
    <xf numFmtId="0" fontId="6" fillId="0" borderId="56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6" fillId="0" borderId="33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vertical="center" wrapText="1"/>
    </xf>
    <xf numFmtId="4" fontId="6" fillId="0" borderId="29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vertical="center" wrapText="1"/>
    </xf>
    <xf numFmtId="0" fontId="7" fillId="0" borderId="39" xfId="0" applyFont="1" applyFill="1" applyBorder="1" applyAlignment="1">
      <alignment horizontal="center" vertical="center" wrapText="1"/>
    </xf>
    <xf numFmtId="4" fontId="7" fillId="0" borderId="29" xfId="0" applyNumberFormat="1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horizontal="center" vertical="center" wrapText="1"/>
    </xf>
    <xf numFmtId="4" fontId="9" fillId="0" borderId="27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4" fontId="1" fillId="0" borderId="52" xfId="0" applyNumberFormat="1" applyFont="1" applyFill="1" applyBorder="1" applyAlignment="1">
      <alignment horizontal="center" vertical="center" wrapText="1"/>
    </xf>
    <xf numFmtId="4" fontId="1" fillId="0" borderId="53" xfId="0" applyNumberFormat="1" applyFont="1" applyFill="1" applyBorder="1" applyAlignment="1">
      <alignment horizontal="center" vertical="center" wrapText="1"/>
    </xf>
    <xf numFmtId="4" fontId="5" fillId="0" borderId="53" xfId="0" applyNumberFormat="1" applyFont="1" applyFill="1" applyBorder="1" applyAlignment="1">
      <alignment horizontal="center" vertical="center" wrapText="1"/>
    </xf>
    <xf numFmtId="4" fontId="5" fillId="0" borderId="52" xfId="0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4" fontId="12" fillId="0" borderId="19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right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 wrapText="1"/>
    </xf>
    <xf numFmtId="4" fontId="5" fillId="0" borderId="54" xfId="0" applyNumberFormat="1" applyFont="1" applyFill="1" applyBorder="1" applyAlignment="1">
      <alignment horizontal="center" vertical="center" wrapText="1"/>
    </xf>
    <xf numFmtId="4" fontId="13" fillId="0" borderId="54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 vertical="center" wrapText="1"/>
    </xf>
    <xf numFmtId="49" fontId="7" fillId="0" borderId="49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right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4" fontId="3" fillId="0" borderId="49" xfId="0" applyNumberFormat="1" applyFont="1" applyFill="1" applyBorder="1" applyAlignment="1">
      <alignment horizontal="center" vertical="center" wrapText="1"/>
    </xf>
    <xf numFmtId="4" fontId="3" fillId="0" borderId="50" xfId="0" applyNumberFormat="1" applyFont="1" applyFill="1" applyBorder="1" applyAlignment="1">
      <alignment horizontal="center" vertical="center" wrapText="1"/>
    </xf>
    <xf numFmtId="4" fontId="14" fillId="0" borderId="5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49" fontId="1" fillId="0" borderId="8" xfId="0" applyNumberFormat="1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4" fontId="11" fillId="0" borderId="0" xfId="0" applyNumberFormat="1" applyFont="1" applyFill="1" applyAlignment="1">
      <alignment horizontal="center" vertical="center" wrapText="1"/>
    </xf>
    <xf numFmtId="49" fontId="5" fillId="0" borderId="42" xfId="0" applyNumberFormat="1" applyFont="1" applyFill="1" applyBorder="1" applyAlignment="1">
      <alignment horizontal="center" vertical="center" wrapText="1"/>
    </xf>
    <xf numFmtId="49" fontId="6" fillId="0" borderId="65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5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" fontId="11" fillId="0" borderId="0" xfId="0" applyNumberFormat="1" applyFont="1" applyFill="1" applyAlignment="1">
      <alignment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40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40" xfId="0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42" xfId="0" applyNumberFormat="1" applyFont="1" applyFill="1" applyBorder="1" applyAlignment="1">
      <alignment horizontal="center" vertical="center" wrapText="1"/>
    </xf>
    <xf numFmtId="49" fontId="6" fillId="0" borderId="48" xfId="0" applyNumberFormat="1" applyFont="1" applyFill="1" applyBorder="1" applyAlignment="1">
      <alignment horizontal="center" vertical="center" wrapText="1"/>
    </xf>
    <xf numFmtId="49" fontId="6" fillId="0" borderId="6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1" xfId="0" applyFont="1" applyFill="1" applyBorder="1" applyAlignment="1">
      <alignment horizontal="left" vertical="center" wrapText="1"/>
    </xf>
    <xf numFmtId="0" fontId="14" fillId="0" borderId="48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40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29" fillId="0" borderId="51" xfId="0" applyFont="1" applyFill="1" applyBorder="1" applyAlignment="1">
      <alignment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 wrapText="1"/>
    </xf>
    <xf numFmtId="4" fontId="6" fillId="2" borderId="53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7" fillId="2" borderId="53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 wrapText="1"/>
    </xf>
    <xf numFmtId="49" fontId="29" fillId="2" borderId="19" xfId="0" applyNumberFormat="1" applyFont="1" applyFill="1" applyBorder="1" applyAlignment="1">
      <alignment horizontal="center" vertical="center" wrapText="1"/>
    </xf>
    <xf numFmtId="49" fontId="29" fillId="2" borderId="22" xfId="0" applyNumberFormat="1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vertical="center" wrapText="1"/>
    </xf>
    <xf numFmtId="0" fontId="29" fillId="2" borderId="22" xfId="0" applyFont="1" applyFill="1" applyBorder="1" applyAlignment="1">
      <alignment horizontal="center" vertical="center" wrapText="1"/>
    </xf>
    <xf numFmtId="4" fontId="29" fillId="2" borderId="53" xfId="0" applyNumberFormat="1" applyFont="1" applyFill="1" applyBorder="1" applyAlignment="1">
      <alignment horizontal="center" vertical="center" wrapText="1"/>
    </xf>
    <xf numFmtId="4" fontId="4" fillId="2" borderId="19" xfId="0" applyNumberFormat="1" applyFont="1" applyFill="1" applyBorder="1" applyAlignment="1">
      <alignment horizontal="center" vertical="center" wrapText="1"/>
    </xf>
    <xf numFmtId="49" fontId="27" fillId="2" borderId="19" xfId="0" applyNumberFormat="1" applyFont="1" applyFill="1" applyBorder="1" applyAlignment="1">
      <alignment horizontal="center" vertical="center" wrapText="1"/>
    </xf>
    <xf numFmtId="49" fontId="27" fillId="2" borderId="22" xfId="0" applyNumberFormat="1" applyFont="1" applyFill="1" applyBorder="1" applyAlignment="1">
      <alignment horizontal="center" vertical="center" wrapText="1"/>
    </xf>
    <xf numFmtId="0" fontId="27" fillId="2" borderId="51" xfId="0" applyFont="1" applyFill="1" applyBorder="1" applyAlignment="1">
      <alignment vertical="center" wrapText="1"/>
    </xf>
    <xf numFmtId="0" fontId="27" fillId="2" borderId="22" xfId="0" applyFont="1" applyFill="1" applyBorder="1" applyAlignment="1">
      <alignment horizontal="center" vertical="center" wrapText="1"/>
    </xf>
    <xf numFmtId="4" fontId="27" fillId="2" borderId="53" xfId="0" applyNumberFormat="1" applyFont="1" applyFill="1" applyBorder="1" applyAlignment="1">
      <alignment horizontal="center" vertical="center" wrapText="1"/>
    </xf>
    <xf numFmtId="4" fontId="28" fillId="2" borderId="19" xfId="0" applyNumberFormat="1" applyFont="1" applyFill="1" applyBorder="1" applyAlignment="1">
      <alignment horizontal="center" vertical="center" wrapText="1"/>
    </xf>
    <xf numFmtId="49" fontId="27" fillId="2" borderId="30" xfId="0" applyNumberFormat="1" applyFont="1" applyFill="1" applyBorder="1" applyAlignment="1">
      <alignment horizontal="center" vertical="center" wrapText="1"/>
    </xf>
    <xf numFmtId="49" fontId="27" fillId="2" borderId="28" xfId="0" applyNumberFormat="1" applyFont="1" applyFill="1" applyBorder="1" applyAlignment="1">
      <alignment horizontal="center" vertical="center" wrapText="1"/>
    </xf>
    <xf numFmtId="0" fontId="27" fillId="2" borderId="39" xfId="0" applyFont="1" applyFill="1" applyBorder="1" applyAlignment="1">
      <alignment vertical="center" wrapText="1"/>
    </xf>
    <xf numFmtId="0" fontId="27" fillId="2" borderId="28" xfId="0" applyFont="1" applyFill="1" applyBorder="1" applyAlignment="1">
      <alignment horizontal="center" vertical="center" wrapText="1"/>
    </xf>
    <xf numFmtId="4" fontId="27" fillId="2" borderId="59" xfId="0" applyNumberFormat="1" applyFont="1" applyFill="1" applyBorder="1" applyAlignment="1">
      <alignment horizontal="center" vertical="center" wrapText="1"/>
    </xf>
    <xf numFmtId="4" fontId="28" fillId="2" borderId="30" xfId="0" applyNumberFormat="1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49" fontId="27" fillId="2" borderId="20" xfId="0" applyNumberFormat="1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vertical="center" wrapText="1"/>
    </xf>
    <xf numFmtId="49" fontId="29" fillId="0" borderId="19" xfId="0" applyNumberFormat="1" applyFont="1" applyFill="1" applyBorder="1" applyAlignment="1">
      <alignment horizontal="center" vertical="center" wrapText="1"/>
    </xf>
    <xf numFmtId="49" fontId="29" fillId="0" borderId="22" xfId="0" applyNumberFormat="1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4" fontId="29" fillId="0" borderId="53" xfId="0" applyNumberFormat="1" applyFont="1" applyFill="1" applyBorder="1" applyAlignment="1">
      <alignment horizontal="center" vertical="center" wrapText="1"/>
    </xf>
    <xf numFmtId="4" fontId="28" fillId="0" borderId="19" xfId="0" applyNumberFormat="1" applyFont="1" applyFill="1" applyBorder="1" applyAlignment="1">
      <alignment horizontal="center" vertical="center" wrapText="1"/>
    </xf>
    <xf numFmtId="49" fontId="27" fillId="0" borderId="30" xfId="0" applyNumberFormat="1" applyFont="1" applyFill="1" applyBorder="1" applyAlignment="1">
      <alignment horizontal="center" vertical="center" wrapText="1"/>
    </xf>
    <xf numFmtId="49" fontId="27" fillId="0" borderId="28" xfId="0" applyNumberFormat="1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vertical="center" wrapText="1"/>
    </xf>
    <xf numFmtId="0" fontId="27" fillId="0" borderId="28" xfId="0" applyFont="1" applyFill="1" applyBorder="1" applyAlignment="1">
      <alignment horizontal="center" vertical="center" wrapText="1"/>
    </xf>
    <xf numFmtId="4" fontId="27" fillId="0" borderId="59" xfId="0" applyNumberFormat="1" applyFont="1" applyFill="1" applyBorder="1" applyAlignment="1">
      <alignment horizontal="center" vertical="center" wrapText="1"/>
    </xf>
    <xf numFmtId="4" fontId="28" fillId="0" borderId="30" xfId="0" applyNumberFormat="1" applyFont="1" applyFill="1" applyBorder="1" applyAlignment="1">
      <alignment horizontal="center" vertical="center" wrapText="1"/>
    </xf>
    <xf numFmtId="49" fontId="27" fillId="0" borderId="19" xfId="0" applyNumberFormat="1" applyFont="1" applyFill="1" applyBorder="1" applyAlignment="1">
      <alignment horizontal="center" vertical="center" wrapText="1"/>
    </xf>
    <xf numFmtId="49" fontId="27" fillId="0" borderId="20" xfId="0" applyNumberFormat="1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vertical="center" wrapText="1"/>
    </xf>
    <xf numFmtId="4" fontId="27" fillId="0" borderId="53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5" fillId="0" borderId="55" xfId="0" applyNumberFormat="1" applyFont="1" applyFill="1" applyBorder="1" applyAlignment="1">
      <alignment horizontal="center" vertical="center" wrapText="1"/>
    </xf>
    <xf numFmtId="4" fontId="5" fillId="0" borderId="4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43597-7E5D-47B2-A6C5-E34EF4393F92}">
  <dimension ref="A1:O119"/>
  <sheetViews>
    <sheetView zoomScaleNormal="100" workbookViewId="0">
      <selection activeCell="J129" sqref="J129"/>
    </sheetView>
  </sheetViews>
  <sheetFormatPr defaultRowHeight="15" x14ac:dyDescent="0.25"/>
  <cols>
    <col min="1" max="1" width="6" style="314" customWidth="1"/>
    <col min="2" max="2" width="16.140625" style="315" customWidth="1"/>
    <col min="3" max="3" width="35.85546875" style="316" customWidth="1"/>
    <col min="4" max="4" width="5.140625" style="316" customWidth="1"/>
    <col min="5" max="5" width="9.140625" style="316"/>
    <col min="6" max="9" width="16.7109375" style="323" customWidth="1"/>
    <col min="10" max="10" width="9.140625" style="398"/>
    <col min="11" max="11" width="9.140625" style="318"/>
    <col min="12" max="12" width="8.28515625" style="318" customWidth="1"/>
    <col min="13" max="15" width="9.140625" style="318"/>
    <col min="16" max="251" width="9.140625" style="316"/>
    <col min="252" max="252" width="6" style="316" customWidth="1"/>
    <col min="253" max="253" width="35.85546875" style="316" customWidth="1"/>
    <col min="254" max="254" width="5.140625" style="316" customWidth="1"/>
    <col min="255" max="260" width="9.140625" style="316"/>
    <col min="261" max="261" width="13.7109375" style="316" customWidth="1"/>
    <col min="262" max="265" width="16.7109375" style="316" customWidth="1"/>
    <col min="266" max="507" width="9.140625" style="316"/>
    <col min="508" max="508" width="6" style="316" customWidth="1"/>
    <col min="509" max="509" width="35.85546875" style="316" customWidth="1"/>
    <col min="510" max="510" width="5.140625" style="316" customWidth="1"/>
    <col min="511" max="516" width="9.140625" style="316"/>
    <col min="517" max="517" width="13.7109375" style="316" customWidth="1"/>
    <col min="518" max="521" width="16.7109375" style="316" customWidth="1"/>
    <col min="522" max="763" width="9.140625" style="316"/>
    <col min="764" max="764" width="6" style="316" customWidth="1"/>
    <col min="765" max="765" width="35.85546875" style="316" customWidth="1"/>
    <col min="766" max="766" width="5.140625" style="316" customWidth="1"/>
    <col min="767" max="772" width="9.140625" style="316"/>
    <col min="773" max="773" width="13.7109375" style="316" customWidth="1"/>
    <col min="774" max="777" width="16.7109375" style="316" customWidth="1"/>
    <col min="778" max="1019" width="9.140625" style="316"/>
    <col min="1020" max="1020" width="6" style="316" customWidth="1"/>
    <col min="1021" max="1021" width="35.85546875" style="316" customWidth="1"/>
    <col min="1022" max="1022" width="5.140625" style="316" customWidth="1"/>
    <col min="1023" max="1028" width="9.140625" style="316"/>
    <col min="1029" max="1029" width="13.7109375" style="316" customWidth="1"/>
    <col min="1030" max="1033" width="16.7109375" style="316" customWidth="1"/>
    <col min="1034" max="1275" width="9.140625" style="316"/>
    <col min="1276" max="1276" width="6" style="316" customWidth="1"/>
    <col min="1277" max="1277" width="35.85546875" style="316" customWidth="1"/>
    <col min="1278" max="1278" width="5.140625" style="316" customWidth="1"/>
    <col min="1279" max="1284" width="9.140625" style="316"/>
    <col min="1285" max="1285" width="13.7109375" style="316" customWidth="1"/>
    <col min="1286" max="1289" width="16.7109375" style="316" customWidth="1"/>
    <col min="1290" max="1531" width="9.140625" style="316"/>
    <col min="1532" max="1532" width="6" style="316" customWidth="1"/>
    <col min="1533" max="1533" width="35.85546875" style="316" customWidth="1"/>
    <col min="1534" max="1534" width="5.140625" style="316" customWidth="1"/>
    <col min="1535" max="1540" width="9.140625" style="316"/>
    <col min="1541" max="1541" width="13.7109375" style="316" customWidth="1"/>
    <col min="1542" max="1545" width="16.7109375" style="316" customWidth="1"/>
    <col min="1546" max="1787" width="9.140625" style="316"/>
    <col min="1788" max="1788" width="6" style="316" customWidth="1"/>
    <col min="1789" max="1789" width="35.85546875" style="316" customWidth="1"/>
    <col min="1790" max="1790" width="5.140625" style="316" customWidth="1"/>
    <col min="1791" max="1796" width="9.140625" style="316"/>
    <col min="1797" max="1797" width="13.7109375" style="316" customWidth="1"/>
    <col min="1798" max="1801" width="16.7109375" style="316" customWidth="1"/>
    <col min="1802" max="2043" width="9.140625" style="316"/>
    <col min="2044" max="2044" width="6" style="316" customWidth="1"/>
    <col min="2045" max="2045" width="35.85546875" style="316" customWidth="1"/>
    <col min="2046" max="2046" width="5.140625" style="316" customWidth="1"/>
    <col min="2047" max="2052" width="9.140625" style="316"/>
    <col min="2053" max="2053" width="13.7109375" style="316" customWidth="1"/>
    <col min="2054" max="2057" width="16.7109375" style="316" customWidth="1"/>
    <col min="2058" max="2299" width="9.140625" style="316"/>
    <col min="2300" max="2300" width="6" style="316" customWidth="1"/>
    <col min="2301" max="2301" width="35.85546875" style="316" customWidth="1"/>
    <col min="2302" max="2302" width="5.140625" style="316" customWidth="1"/>
    <col min="2303" max="2308" width="9.140625" style="316"/>
    <col min="2309" max="2309" width="13.7109375" style="316" customWidth="1"/>
    <col min="2310" max="2313" width="16.7109375" style="316" customWidth="1"/>
    <col min="2314" max="2555" width="9.140625" style="316"/>
    <col min="2556" max="2556" width="6" style="316" customWidth="1"/>
    <col min="2557" max="2557" width="35.85546875" style="316" customWidth="1"/>
    <col min="2558" max="2558" width="5.140625" style="316" customWidth="1"/>
    <col min="2559" max="2564" width="9.140625" style="316"/>
    <col min="2565" max="2565" width="13.7109375" style="316" customWidth="1"/>
    <col min="2566" max="2569" width="16.7109375" style="316" customWidth="1"/>
    <col min="2570" max="2811" width="9.140625" style="316"/>
    <col min="2812" max="2812" width="6" style="316" customWidth="1"/>
    <col min="2813" max="2813" width="35.85546875" style="316" customWidth="1"/>
    <col min="2814" max="2814" width="5.140625" style="316" customWidth="1"/>
    <col min="2815" max="2820" width="9.140625" style="316"/>
    <col min="2821" max="2821" width="13.7109375" style="316" customWidth="1"/>
    <col min="2822" max="2825" width="16.7109375" style="316" customWidth="1"/>
    <col min="2826" max="3067" width="9.140625" style="316"/>
    <col min="3068" max="3068" width="6" style="316" customWidth="1"/>
    <col min="3069" max="3069" width="35.85546875" style="316" customWidth="1"/>
    <col min="3070" max="3070" width="5.140625" style="316" customWidth="1"/>
    <col min="3071" max="3076" width="9.140625" style="316"/>
    <col min="3077" max="3077" width="13.7109375" style="316" customWidth="1"/>
    <col min="3078" max="3081" width="16.7109375" style="316" customWidth="1"/>
    <col min="3082" max="3323" width="9.140625" style="316"/>
    <col min="3324" max="3324" width="6" style="316" customWidth="1"/>
    <col min="3325" max="3325" width="35.85546875" style="316" customWidth="1"/>
    <col min="3326" max="3326" width="5.140625" style="316" customWidth="1"/>
    <col min="3327" max="3332" width="9.140625" style="316"/>
    <col min="3333" max="3333" width="13.7109375" style="316" customWidth="1"/>
    <col min="3334" max="3337" width="16.7109375" style="316" customWidth="1"/>
    <col min="3338" max="3579" width="9.140625" style="316"/>
    <col min="3580" max="3580" width="6" style="316" customWidth="1"/>
    <col min="3581" max="3581" width="35.85546875" style="316" customWidth="1"/>
    <col min="3582" max="3582" width="5.140625" style="316" customWidth="1"/>
    <col min="3583" max="3588" width="9.140625" style="316"/>
    <col min="3589" max="3589" width="13.7109375" style="316" customWidth="1"/>
    <col min="3590" max="3593" width="16.7109375" style="316" customWidth="1"/>
    <col min="3594" max="3835" width="9.140625" style="316"/>
    <col min="3836" max="3836" width="6" style="316" customWidth="1"/>
    <col min="3837" max="3837" width="35.85546875" style="316" customWidth="1"/>
    <col min="3838" max="3838" width="5.140625" style="316" customWidth="1"/>
    <col min="3839" max="3844" width="9.140625" style="316"/>
    <col min="3845" max="3845" width="13.7109375" style="316" customWidth="1"/>
    <col min="3846" max="3849" width="16.7109375" style="316" customWidth="1"/>
    <col min="3850" max="4091" width="9.140625" style="316"/>
    <col min="4092" max="4092" width="6" style="316" customWidth="1"/>
    <col min="4093" max="4093" width="35.85546875" style="316" customWidth="1"/>
    <col min="4094" max="4094" width="5.140625" style="316" customWidth="1"/>
    <col min="4095" max="4100" width="9.140625" style="316"/>
    <col min="4101" max="4101" width="13.7109375" style="316" customWidth="1"/>
    <col min="4102" max="4105" width="16.7109375" style="316" customWidth="1"/>
    <col min="4106" max="4347" width="9.140625" style="316"/>
    <col min="4348" max="4348" width="6" style="316" customWidth="1"/>
    <col min="4349" max="4349" width="35.85546875" style="316" customWidth="1"/>
    <col min="4350" max="4350" width="5.140625" style="316" customWidth="1"/>
    <col min="4351" max="4356" width="9.140625" style="316"/>
    <col min="4357" max="4357" width="13.7109375" style="316" customWidth="1"/>
    <col min="4358" max="4361" width="16.7109375" style="316" customWidth="1"/>
    <col min="4362" max="4603" width="9.140625" style="316"/>
    <col min="4604" max="4604" width="6" style="316" customWidth="1"/>
    <col min="4605" max="4605" width="35.85546875" style="316" customWidth="1"/>
    <col min="4606" max="4606" width="5.140625" style="316" customWidth="1"/>
    <col min="4607" max="4612" width="9.140625" style="316"/>
    <col min="4613" max="4613" width="13.7109375" style="316" customWidth="1"/>
    <col min="4614" max="4617" width="16.7109375" style="316" customWidth="1"/>
    <col min="4618" max="4859" width="9.140625" style="316"/>
    <col min="4860" max="4860" width="6" style="316" customWidth="1"/>
    <col min="4861" max="4861" width="35.85546875" style="316" customWidth="1"/>
    <col min="4862" max="4862" width="5.140625" style="316" customWidth="1"/>
    <col min="4863" max="4868" width="9.140625" style="316"/>
    <col min="4869" max="4869" width="13.7109375" style="316" customWidth="1"/>
    <col min="4870" max="4873" width="16.7109375" style="316" customWidth="1"/>
    <col min="4874" max="5115" width="9.140625" style="316"/>
    <col min="5116" max="5116" width="6" style="316" customWidth="1"/>
    <col min="5117" max="5117" width="35.85546875" style="316" customWidth="1"/>
    <col min="5118" max="5118" width="5.140625" style="316" customWidth="1"/>
    <col min="5119" max="5124" width="9.140625" style="316"/>
    <col min="5125" max="5125" width="13.7109375" style="316" customWidth="1"/>
    <col min="5126" max="5129" width="16.7109375" style="316" customWidth="1"/>
    <col min="5130" max="5371" width="9.140625" style="316"/>
    <col min="5372" max="5372" width="6" style="316" customWidth="1"/>
    <col min="5373" max="5373" width="35.85546875" style="316" customWidth="1"/>
    <col min="5374" max="5374" width="5.140625" style="316" customWidth="1"/>
    <col min="5375" max="5380" width="9.140625" style="316"/>
    <col min="5381" max="5381" width="13.7109375" style="316" customWidth="1"/>
    <col min="5382" max="5385" width="16.7109375" style="316" customWidth="1"/>
    <col min="5386" max="5627" width="9.140625" style="316"/>
    <col min="5628" max="5628" width="6" style="316" customWidth="1"/>
    <col min="5629" max="5629" width="35.85546875" style="316" customWidth="1"/>
    <col min="5630" max="5630" width="5.140625" style="316" customWidth="1"/>
    <col min="5631" max="5636" width="9.140625" style="316"/>
    <col min="5637" max="5637" width="13.7109375" style="316" customWidth="1"/>
    <col min="5638" max="5641" width="16.7109375" style="316" customWidth="1"/>
    <col min="5642" max="5883" width="9.140625" style="316"/>
    <col min="5884" max="5884" width="6" style="316" customWidth="1"/>
    <col min="5885" max="5885" width="35.85546875" style="316" customWidth="1"/>
    <col min="5886" max="5886" width="5.140625" style="316" customWidth="1"/>
    <col min="5887" max="5892" width="9.140625" style="316"/>
    <col min="5893" max="5893" width="13.7109375" style="316" customWidth="1"/>
    <col min="5894" max="5897" width="16.7109375" style="316" customWidth="1"/>
    <col min="5898" max="6139" width="9.140625" style="316"/>
    <col min="6140" max="6140" width="6" style="316" customWidth="1"/>
    <col min="6141" max="6141" width="35.85546875" style="316" customWidth="1"/>
    <col min="6142" max="6142" width="5.140625" style="316" customWidth="1"/>
    <col min="6143" max="6148" width="9.140625" style="316"/>
    <col min="6149" max="6149" width="13.7109375" style="316" customWidth="1"/>
    <col min="6150" max="6153" width="16.7109375" style="316" customWidth="1"/>
    <col min="6154" max="6395" width="9.140625" style="316"/>
    <col min="6396" max="6396" width="6" style="316" customWidth="1"/>
    <col min="6397" max="6397" width="35.85546875" style="316" customWidth="1"/>
    <col min="6398" max="6398" width="5.140625" style="316" customWidth="1"/>
    <col min="6399" max="6404" width="9.140625" style="316"/>
    <col min="6405" max="6405" width="13.7109375" style="316" customWidth="1"/>
    <col min="6406" max="6409" width="16.7109375" style="316" customWidth="1"/>
    <col min="6410" max="6651" width="9.140625" style="316"/>
    <col min="6652" max="6652" width="6" style="316" customWidth="1"/>
    <col min="6653" max="6653" width="35.85546875" style="316" customWidth="1"/>
    <col min="6654" max="6654" width="5.140625" style="316" customWidth="1"/>
    <col min="6655" max="6660" width="9.140625" style="316"/>
    <col min="6661" max="6661" width="13.7109375" style="316" customWidth="1"/>
    <col min="6662" max="6665" width="16.7109375" style="316" customWidth="1"/>
    <col min="6666" max="6907" width="9.140625" style="316"/>
    <col min="6908" max="6908" width="6" style="316" customWidth="1"/>
    <col min="6909" max="6909" width="35.85546875" style="316" customWidth="1"/>
    <col min="6910" max="6910" width="5.140625" style="316" customWidth="1"/>
    <col min="6911" max="6916" width="9.140625" style="316"/>
    <col min="6917" max="6917" width="13.7109375" style="316" customWidth="1"/>
    <col min="6918" max="6921" width="16.7109375" style="316" customWidth="1"/>
    <col min="6922" max="7163" width="9.140625" style="316"/>
    <col min="7164" max="7164" width="6" style="316" customWidth="1"/>
    <col min="7165" max="7165" width="35.85546875" style="316" customWidth="1"/>
    <col min="7166" max="7166" width="5.140625" style="316" customWidth="1"/>
    <col min="7167" max="7172" width="9.140625" style="316"/>
    <col min="7173" max="7173" width="13.7109375" style="316" customWidth="1"/>
    <col min="7174" max="7177" width="16.7109375" style="316" customWidth="1"/>
    <col min="7178" max="7419" width="9.140625" style="316"/>
    <col min="7420" max="7420" width="6" style="316" customWidth="1"/>
    <col min="7421" max="7421" width="35.85546875" style="316" customWidth="1"/>
    <col min="7422" max="7422" width="5.140625" style="316" customWidth="1"/>
    <col min="7423" max="7428" width="9.140625" style="316"/>
    <col min="7429" max="7429" width="13.7109375" style="316" customWidth="1"/>
    <col min="7430" max="7433" width="16.7109375" style="316" customWidth="1"/>
    <col min="7434" max="7675" width="9.140625" style="316"/>
    <col min="7676" max="7676" width="6" style="316" customWidth="1"/>
    <col min="7677" max="7677" width="35.85546875" style="316" customWidth="1"/>
    <col min="7678" max="7678" width="5.140625" style="316" customWidth="1"/>
    <col min="7679" max="7684" width="9.140625" style="316"/>
    <col min="7685" max="7685" width="13.7109375" style="316" customWidth="1"/>
    <col min="7686" max="7689" width="16.7109375" style="316" customWidth="1"/>
    <col min="7690" max="7931" width="9.140625" style="316"/>
    <col min="7932" max="7932" width="6" style="316" customWidth="1"/>
    <col min="7933" max="7933" width="35.85546875" style="316" customWidth="1"/>
    <col min="7934" max="7934" width="5.140625" style="316" customWidth="1"/>
    <col min="7935" max="7940" width="9.140625" style="316"/>
    <col min="7941" max="7941" width="13.7109375" style="316" customWidth="1"/>
    <col min="7942" max="7945" width="16.7109375" style="316" customWidth="1"/>
    <col min="7946" max="8187" width="9.140625" style="316"/>
    <col min="8188" max="8188" width="6" style="316" customWidth="1"/>
    <col min="8189" max="8189" width="35.85546875" style="316" customWidth="1"/>
    <col min="8190" max="8190" width="5.140625" style="316" customWidth="1"/>
    <col min="8191" max="8196" width="9.140625" style="316"/>
    <col min="8197" max="8197" width="13.7109375" style="316" customWidth="1"/>
    <col min="8198" max="8201" width="16.7109375" style="316" customWidth="1"/>
    <col min="8202" max="8443" width="9.140625" style="316"/>
    <col min="8444" max="8444" width="6" style="316" customWidth="1"/>
    <col min="8445" max="8445" width="35.85546875" style="316" customWidth="1"/>
    <col min="8446" max="8446" width="5.140625" style="316" customWidth="1"/>
    <col min="8447" max="8452" width="9.140625" style="316"/>
    <col min="8453" max="8453" width="13.7109375" style="316" customWidth="1"/>
    <col min="8454" max="8457" width="16.7109375" style="316" customWidth="1"/>
    <col min="8458" max="8699" width="9.140625" style="316"/>
    <col min="8700" max="8700" width="6" style="316" customWidth="1"/>
    <col min="8701" max="8701" width="35.85546875" style="316" customWidth="1"/>
    <col min="8702" max="8702" width="5.140625" style="316" customWidth="1"/>
    <col min="8703" max="8708" width="9.140625" style="316"/>
    <col min="8709" max="8709" width="13.7109375" style="316" customWidth="1"/>
    <col min="8710" max="8713" width="16.7109375" style="316" customWidth="1"/>
    <col min="8714" max="8955" width="9.140625" style="316"/>
    <col min="8956" max="8956" width="6" style="316" customWidth="1"/>
    <col min="8957" max="8957" width="35.85546875" style="316" customWidth="1"/>
    <col min="8958" max="8958" width="5.140625" style="316" customWidth="1"/>
    <col min="8959" max="8964" width="9.140625" style="316"/>
    <col min="8965" max="8965" width="13.7109375" style="316" customWidth="1"/>
    <col min="8966" max="8969" width="16.7109375" style="316" customWidth="1"/>
    <col min="8970" max="9211" width="9.140625" style="316"/>
    <col min="9212" max="9212" width="6" style="316" customWidth="1"/>
    <col min="9213" max="9213" width="35.85546875" style="316" customWidth="1"/>
    <col min="9214" max="9214" width="5.140625" style="316" customWidth="1"/>
    <col min="9215" max="9220" width="9.140625" style="316"/>
    <col min="9221" max="9221" width="13.7109375" style="316" customWidth="1"/>
    <col min="9222" max="9225" width="16.7109375" style="316" customWidth="1"/>
    <col min="9226" max="9467" width="9.140625" style="316"/>
    <col min="9468" max="9468" width="6" style="316" customWidth="1"/>
    <col min="9469" max="9469" width="35.85546875" style="316" customWidth="1"/>
    <col min="9470" max="9470" width="5.140625" style="316" customWidth="1"/>
    <col min="9471" max="9476" width="9.140625" style="316"/>
    <col min="9477" max="9477" width="13.7109375" style="316" customWidth="1"/>
    <col min="9478" max="9481" width="16.7109375" style="316" customWidth="1"/>
    <col min="9482" max="9723" width="9.140625" style="316"/>
    <col min="9724" max="9724" width="6" style="316" customWidth="1"/>
    <col min="9725" max="9725" width="35.85546875" style="316" customWidth="1"/>
    <col min="9726" max="9726" width="5.140625" style="316" customWidth="1"/>
    <col min="9727" max="9732" width="9.140625" style="316"/>
    <col min="9733" max="9733" width="13.7109375" style="316" customWidth="1"/>
    <col min="9734" max="9737" width="16.7109375" style="316" customWidth="1"/>
    <col min="9738" max="9979" width="9.140625" style="316"/>
    <col min="9980" max="9980" width="6" style="316" customWidth="1"/>
    <col min="9981" max="9981" width="35.85546875" style="316" customWidth="1"/>
    <col min="9982" max="9982" width="5.140625" style="316" customWidth="1"/>
    <col min="9983" max="9988" width="9.140625" style="316"/>
    <col min="9989" max="9989" width="13.7109375" style="316" customWidth="1"/>
    <col min="9990" max="9993" width="16.7109375" style="316" customWidth="1"/>
    <col min="9994" max="10235" width="9.140625" style="316"/>
    <col min="10236" max="10236" width="6" style="316" customWidth="1"/>
    <col min="10237" max="10237" width="35.85546875" style="316" customWidth="1"/>
    <col min="10238" max="10238" width="5.140625" style="316" customWidth="1"/>
    <col min="10239" max="10244" width="9.140625" style="316"/>
    <col min="10245" max="10245" width="13.7109375" style="316" customWidth="1"/>
    <col min="10246" max="10249" width="16.7109375" style="316" customWidth="1"/>
    <col min="10250" max="10491" width="9.140625" style="316"/>
    <col min="10492" max="10492" width="6" style="316" customWidth="1"/>
    <col min="10493" max="10493" width="35.85546875" style="316" customWidth="1"/>
    <col min="10494" max="10494" width="5.140625" style="316" customWidth="1"/>
    <col min="10495" max="10500" width="9.140625" style="316"/>
    <col min="10501" max="10501" width="13.7109375" style="316" customWidth="1"/>
    <col min="10502" max="10505" width="16.7109375" style="316" customWidth="1"/>
    <col min="10506" max="10747" width="9.140625" style="316"/>
    <col min="10748" max="10748" width="6" style="316" customWidth="1"/>
    <col min="10749" max="10749" width="35.85546875" style="316" customWidth="1"/>
    <col min="10750" max="10750" width="5.140625" style="316" customWidth="1"/>
    <col min="10751" max="10756" width="9.140625" style="316"/>
    <col min="10757" max="10757" width="13.7109375" style="316" customWidth="1"/>
    <col min="10758" max="10761" width="16.7109375" style="316" customWidth="1"/>
    <col min="10762" max="11003" width="9.140625" style="316"/>
    <col min="11004" max="11004" width="6" style="316" customWidth="1"/>
    <col min="11005" max="11005" width="35.85546875" style="316" customWidth="1"/>
    <col min="11006" max="11006" width="5.140625" style="316" customWidth="1"/>
    <col min="11007" max="11012" width="9.140625" style="316"/>
    <col min="11013" max="11013" width="13.7109375" style="316" customWidth="1"/>
    <col min="11014" max="11017" width="16.7109375" style="316" customWidth="1"/>
    <col min="11018" max="11259" width="9.140625" style="316"/>
    <col min="11260" max="11260" width="6" style="316" customWidth="1"/>
    <col min="11261" max="11261" width="35.85546875" style="316" customWidth="1"/>
    <col min="11262" max="11262" width="5.140625" style="316" customWidth="1"/>
    <col min="11263" max="11268" width="9.140625" style="316"/>
    <col min="11269" max="11269" width="13.7109375" style="316" customWidth="1"/>
    <col min="11270" max="11273" width="16.7109375" style="316" customWidth="1"/>
    <col min="11274" max="11515" width="9.140625" style="316"/>
    <col min="11516" max="11516" width="6" style="316" customWidth="1"/>
    <col min="11517" max="11517" width="35.85546875" style="316" customWidth="1"/>
    <col min="11518" max="11518" width="5.140625" style="316" customWidth="1"/>
    <col min="11519" max="11524" width="9.140625" style="316"/>
    <col min="11525" max="11525" width="13.7109375" style="316" customWidth="1"/>
    <col min="11526" max="11529" width="16.7109375" style="316" customWidth="1"/>
    <col min="11530" max="11771" width="9.140625" style="316"/>
    <col min="11772" max="11772" width="6" style="316" customWidth="1"/>
    <col min="11773" max="11773" width="35.85546875" style="316" customWidth="1"/>
    <col min="11774" max="11774" width="5.140625" style="316" customWidth="1"/>
    <col min="11775" max="11780" width="9.140625" style="316"/>
    <col min="11781" max="11781" width="13.7109375" style="316" customWidth="1"/>
    <col min="11782" max="11785" width="16.7109375" style="316" customWidth="1"/>
    <col min="11786" max="12027" width="9.140625" style="316"/>
    <col min="12028" max="12028" width="6" style="316" customWidth="1"/>
    <col min="12029" max="12029" width="35.85546875" style="316" customWidth="1"/>
    <col min="12030" max="12030" width="5.140625" style="316" customWidth="1"/>
    <col min="12031" max="12036" width="9.140625" style="316"/>
    <col min="12037" max="12037" width="13.7109375" style="316" customWidth="1"/>
    <col min="12038" max="12041" width="16.7109375" style="316" customWidth="1"/>
    <col min="12042" max="12283" width="9.140625" style="316"/>
    <col min="12284" max="12284" width="6" style="316" customWidth="1"/>
    <col min="12285" max="12285" width="35.85546875" style="316" customWidth="1"/>
    <col min="12286" max="12286" width="5.140625" style="316" customWidth="1"/>
    <col min="12287" max="12292" width="9.140625" style="316"/>
    <col min="12293" max="12293" width="13.7109375" style="316" customWidth="1"/>
    <col min="12294" max="12297" width="16.7109375" style="316" customWidth="1"/>
    <col min="12298" max="12539" width="9.140625" style="316"/>
    <col min="12540" max="12540" width="6" style="316" customWidth="1"/>
    <col min="12541" max="12541" width="35.85546875" style="316" customWidth="1"/>
    <col min="12542" max="12542" width="5.140625" style="316" customWidth="1"/>
    <col min="12543" max="12548" width="9.140625" style="316"/>
    <col min="12549" max="12549" width="13.7109375" style="316" customWidth="1"/>
    <col min="12550" max="12553" width="16.7109375" style="316" customWidth="1"/>
    <col min="12554" max="12795" width="9.140625" style="316"/>
    <col min="12796" max="12796" width="6" style="316" customWidth="1"/>
    <col min="12797" max="12797" width="35.85546875" style="316" customWidth="1"/>
    <col min="12798" max="12798" width="5.140625" style="316" customWidth="1"/>
    <col min="12799" max="12804" width="9.140625" style="316"/>
    <col min="12805" max="12805" width="13.7109375" style="316" customWidth="1"/>
    <col min="12806" max="12809" width="16.7109375" style="316" customWidth="1"/>
    <col min="12810" max="13051" width="9.140625" style="316"/>
    <col min="13052" max="13052" width="6" style="316" customWidth="1"/>
    <col min="13053" max="13053" width="35.85546875" style="316" customWidth="1"/>
    <col min="13054" max="13054" width="5.140625" style="316" customWidth="1"/>
    <col min="13055" max="13060" width="9.140625" style="316"/>
    <col min="13061" max="13061" width="13.7109375" style="316" customWidth="1"/>
    <col min="13062" max="13065" width="16.7109375" style="316" customWidth="1"/>
    <col min="13066" max="13307" width="9.140625" style="316"/>
    <col min="13308" max="13308" width="6" style="316" customWidth="1"/>
    <col min="13309" max="13309" width="35.85546875" style="316" customWidth="1"/>
    <col min="13310" max="13310" width="5.140625" style="316" customWidth="1"/>
    <col min="13311" max="13316" width="9.140625" style="316"/>
    <col min="13317" max="13317" width="13.7109375" style="316" customWidth="1"/>
    <col min="13318" max="13321" width="16.7109375" style="316" customWidth="1"/>
    <col min="13322" max="13563" width="9.140625" style="316"/>
    <col min="13564" max="13564" width="6" style="316" customWidth="1"/>
    <col min="13565" max="13565" width="35.85546875" style="316" customWidth="1"/>
    <col min="13566" max="13566" width="5.140625" style="316" customWidth="1"/>
    <col min="13567" max="13572" width="9.140625" style="316"/>
    <col min="13573" max="13573" width="13.7109375" style="316" customWidth="1"/>
    <col min="13574" max="13577" width="16.7109375" style="316" customWidth="1"/>
    <col min="13578" max="13819" width="9.140625" style="316"/>
    <col min="13820" max="13820" width="6" style="316" customWidth="1"/>
    <col min="13821" max="13821" width="35.85546875" style="316" customWidth="1"/>
    <col min="13822" max="13822" width="5.140625" style="316" customWidth="1"/>
    <col min="13823" max="13828" width="9.140625" style="316"/>
    <col min="13829" max="13829" width="13.7109375" style="316" customWidth="1"/>
    <col min="13830" max="13833" width="16.7109375" style="316" customWidth="1"/>
    <col min="13834" max="14075" width="9.140625" style="316"/>
    <col min="14076" max="14076" width="6" style="316" customWidth="1"/>
    <col min="14077" max="14077" width="35.85546875" style="316" customWidth="1"/>
    <col min="14078" max="14078" width="5.140625" style="316" customWidth="1"/>
    <col min="14079" max="14084" width="9.140625" style="316"/>
    <col min="14085" max="14085" width="13.7109375" style="316" customWidth="1"/>
    <col min="14086" max="14089" width="16.7109375" style="316" customWidth="1"/>
    <col min="14090" max="14331" width="9.140625" style="316"/>
    <col min="14332" max="14332" width="6" style="316" customWidth="1"/>
    <col min="14333" max="14333" width="35.85546875" style="316" customWidth="1"/>
    <col min="14334" max="14334" width="5.140625" style="316" customWidth="1"/>
    <col min="14335" max="14340" width="9.140625" style="316"/>
    <col min="14341" max="14341" width="13.7109375" style="316" customWidth="1"/>
    <col min="14342" max="14345" width="16.7109375" style="316" customWidth="1"/>
    <col min="14346" max="14587" width="9.140625" style="316"/>
    <col min="14588" max="14588" width="6" style="316" customWidth="1"/>
    <col min="14589" max="14589" width="35.85546875" style="316" customWidth="1"/>
    <col min="14590" max="14590" width="5.140625" style="316" customWidth="1"/>
    <col min="14591" max="14596" width="9.140625" style="316"/>
    <col min="14597" max="14597" width="13.7109375" style="316" customWidth="1"/>
    <col min="14598" max="14601" width="16.7109375" style="316" customWidth="1"/>
    <col min="14602" max="14843" width="9.140625" style="316"/>
    <col min="14844" max="14844" width="6" style="316" customWidth="1"/>
    <col min="14845" max="14845" width="35.85546875" style="316" customWidth="1"/>
    <col min="14846" max="14846" width="5.140625" style="316" customWidth="1"/>
    <col min="14847" max="14852" width="9.140625" style="316"/>
    <col min="14853" max="14853" width="13.7109375" style="316" customWidth="1"/>
    <col min="14854" max="14857" width="16.7109375" style="316" customWidth="1"/>
    <col min="14858" max="15099" width="9.140625" style="316"/>
    <col min="15100" max="15100" width="6" style="316" customWidth="1"/>
    <col min="15101" max="15101" width="35.85546875" style="316" customWidth="1"/>
    <col min="15102" max="15102" width="5.140625" style="316" customWidth="1"/>
    <col min="15103" max="15108" width="9.140625" style="316"/>
    <col min="15109" max="15109" width="13.7109375" style="316" customWidth="1"/>
    <col min="15110" max="15113" width="16.7109375" style="316" customWidth="1"/>
    <col min="15114" max="15355" width="9.140625" style="316"/>
    <col min="15356" max="15356" width="6" style="316" customWidth="1"/>
    <col min="15357" max="15357" width="35.85546875" style="316" customWidth="1"/>
    <col min="15358" max="15358" width="5.140625" style="316" customWidth="1"/>
    <col min="15359" max="15364" width="9.140625" style="316"/>
    <col min="15365" max="15365" width="13.7109375" style="316" customWidth="1"/>
    <col min="15366" max="15369" width="16.7109375" style="316" customWidth="1"/>
    <col min="15370" max="15611" width="9.140625" style="316"/>
    <col min="15612" max="15612" width="6" style="316" customWidth="1"/>
    <col min="15613" max="15613" width="35.85546875" style="316" customWidth="1"/>
    <col min="15614" max="15614" width="5.140625" style="316" customWidth="1"/>
    <col min="15615" max="15620" width="9.140625" style="316"/>
    <col min="15621" max="15621" width="13.7109375" style="316" customWidth="1"/>
    <col min="15622" max="15625" width="16.7109375" style="316" customWidth="1"/>
    <col min="15626" max="15867" width="9.140625" style="316"/>
    <col min="15868" max="15868" width="6" style="316" customWidth="1"/>
    <col min="15869" max="15869" width="35.85546875" style="316" customWidth="1"/>
    <col min="15870" max="15870" width="5.140625" style="316" customWidth="1"/>
    <col min="15871" max="15876" width="9.140625" style="316"/>
    <col min="15877" max="15877" width="13.7109375" style="316" customWidth="1"/>
    <col min="15878" max="15881" width="16.7109375" style="316" customWidth="1"/>
    <col min="15882" max="16123" width="9.140625" style="316"/>
    <col min="16124" max="16124" width="6" style="316" customWidth="1"/>
    <col min="16125" max="16125" width="35.85546875" style="316" customWidth="1"/>
    <col min="16126" max="16126" width="5.140625" style="316" customWidth="1"/>
    <col min="16127" max="16132" width="9.140625" style="316"/>
    <col min="16133" max="16133" width="13.7109375" style="316" customWidth="1"/>
    <col min="16134" max="16137" width="16.7109375" style="316" customWidth="1"/>
    <col min="16138" max="16384" width="9.140625" style="316"/>
  </cols>
  <sheetData>
    <row r="1" spans="1:15" ht="15" customHeight="1" x14ac:dyDescent="0.25">
      <c r="F1" s="317"/>
      <c r="G1" s="404"/>
      <c r="H1" s="404"/>
      <c r="I1" s="404"/>
    </row>
    <row r="2" spans="1:15" ht="15" customHeight="1" x14ac:dyDescent="0.25">
      <c r="A2" s="407" t="s">
        <v>206</v>
      </c>
      <c r="B2" s="407"/>
      <c r="C2" s="407"/>
      <c r="F2" s="404"/>
      <c r="G2" s="404"/>
      <c r="H2" s="404"/>
      <c r="I2" s="404"/>
    </row>
    <row r="4" spans="1:15" x14ac:dyDescent="0.25">
      <c r="C4" s="318"/>
      <c r="D4" s="318"/>
      <c r="E4" s="319"/>
      <c r="F4" s="320"/>
      <c r="G4" s="321"/>
      <c r="H4" s="322"/>
      <c r="I4" s="322"/>
    </row>
    <row r="5" spans="1:15" x14ac:dyDescent="0.25">
      <c r="C5" s="405" t="s">
        <v>205</v>
      </c>
      <c r="D5" s="405"/>
      <c r="E5" s="405"/>
      <c r="F5" s="405"/>
      <c r="G5" s="405"/>
      <c r="H5" s="405"/>
      <c r="I5" s="322"/>
    </row>
    <row r="6" spans="1:15" x14ac:dyDescent="0.25">
      <c r="C6" s="405" t="s">
        <v>122</v>
      </c>
      <c r="D6" s="405"/>
      <c r="E6" s="405"/>
      <c r="F6" s="405"/>
      <c r="G6" s="405"/>
      <c r="H6" s="405"/>
      <c r="I6" s="322"/>
    </row>
    <row r="7" spans="1:15" x14ac:dyDescent="0.25">
      <c r="C7" s="318"/>
      <c r="D7" s="318"/>
      <c r="E7" s="319"/>
      <c r="F7" s="320"/>
      <c r="G7" s="321"/>
      <c r="H7" s="322"/>
      <c r="I7" s="322"/>
    </row>
    <row r="8" spans="1:15" x14ac:dyDescent="0.25">
      <c r="C8" s="318"/>
      <c r="D8" s="318"/>
      <c r="E8" s="319"/>
      <c r="F8" s="320"/>
      <c r="G8" s="321"/>
      <c r="H8" s="322"/>
      <c r="I8" s="322"/>
    </row>
    <row r="9" spans="1:15" x14ac:dyDescent="0.25">
      <c r="A9" s="406" t="s">
        <v>207</v>
      </c>
      <c r="B9" s="406"/>
      <c r="C9" s="406"/>
      <c r="D9" s="406"/>
      <c r="E9" s="406"/>
      <c r="F9" s="406"/>
      <c r="G9" s="406"/>
      <c r="H9" s="406"/>
      <c r="I9" s="406"/>
    </row>
    <row r="10" spans="1:15" ht="40.5" customHeight="1" x14ac:dyDescent="0.25">
      <c r="A10" s="406"/>
      <c r="B10" s="406"/>
      <c r="C10" s="406"/>
      <c r="D10" s="406"/>
      <c r="E10" s="406"/>
      <c r="F10" s="406"/>
      <c r="G10" s="406"/>
      <c r="H10" s="406"/>
      <c r="I10" s="406"/>
    </row>
    <row r="11" spans="1:15" x14ac:dyDescent="0.25">
      <c r="C11" s="318"/>
      <c r="D11" s="318"/>
      <c r="E11" s="319"/>
      <c r="F11" s="320"/>
      <c r="G11" s="321"/>
      <c r="H11" s="322"/>
      <c r="I11" s="322"/>
    </row>
    <row r="12" spans="1:15" x14ac:dyDescent="0.25">
      <c r="A12" s="402" t="s">
        <v>129</v>
      </c>
      <c r="B12" s="402"/>
      <c r="C12" s="403" t="s">
        <v>216</v>
      </c>
      <c r="D12" s="403"/>
      <c r="E12" s="403"/>
      <c r="F12" s="403"/>
      <c r="G12" s="403"/>
      <c r="H12" s="403"/>
      <c r="I12" s="403"/>
      <c r="L12" s="319"/>
    </row>
    <row r="13" spans="1:15" x14ac:dyDescent="0.25">
      <c r="I13" s="324"/>
      <c r="K13" s="394"/>
      <c r="L13" s="319"/>
    </row>
    <row r="14" spans="1:15" ht="15.75" thickBot="1" x14ac:dyDescent="0.3"/>
    <row r="15" spans="1:15" s="323" customFormat="1" ht="15.75" thickBot="1" x14ac:dyDescent="0.3">
      <c r="A15" s="419" t="s">
        <v>0</v>
      </c>
      <c r="B15" s="421" t="s">
        <v>51</v>
      </c>
      <c r="C15" s="423" t="s">
        <v>1</v>
      </c>
      <c r="D15" s="425" t="s">
        <v>2</v>
      </c>
      <c r="E15" s="425" t="s">
        <v>3</v>
      </c>
      <c r="F15" s="409" t="s">
        <v>4</v>
      </c>
      <c r="G15" s="410"/>
      <c r="H15" s="411" t="s">
        <v>5</v>
      </c>
      <c r="I15" s="410"/>
      <c r="J15" s="320"/>
      <c r="K15" s="395"/>
      <c r="L15" s="395"/>
      <c r="M15" s="395"/>
      <c r="N15" s="395"/>
      <c r="O15" s="395"/>
    </row>
    <row r="16" spans="1:15" s="323" customFormat="1" ht="15.75" thickBot="1" x14ac:dyDescent="0.3">
      <c r="A16" s="420"/>
      <c r="B16" s="422"/>
      <c r="C16" s="424"/>
      <c r="D16" s="426"/>
      <c r="E16" s="426"/>
      <c r="F16" s="325" t="s">
        <v>44</v>
      </c>
      <c r="G16" s="325" t="s">
        <v>6</v>
      </c>
      <c r="H16" s="390" t="s">
        <v>44</v>
      </c>
      <c r="I16" s="325" t="s">
        <v>6</v>
      </c>
      <c r="J16" s="320"/>
      <c r="K16" s="395"/>
      <c r="L16" s="395"/>
      <c r="M16" s="395"/>
      <c r="N16" s="395"/>
      <c r="O16" s="395"/>
    </row>
    <row r="17" spans="1:15" s="323" customFormat="1" ht="15.75" thickBot="1" x14ac:dyDescent="0.3">
      <c r="A17" s="388" t="s">
        <v>18</v>
      </c>
      <c r="B17" s="389" t="s">
        <v>21</v>
      </c>
      <c r="C17" s="388" t="s">
        <v>28</v>
      </c>
      <c r="D17" s="389" t="s">
        <v>30</v>
      </c>
      <c r="E17" s="388" t="s">
        <v>35</v>
      </c>
      <c r="F17" s="389" t="s">
        <v>36</v>
      </c>
      <c r="G17" s="388" t="s">
        <v>37</v>
      </c>
      <c r="H17" s="389" t="s">
        <v>38</v>
      </c>
      <c r="I17" s="388" t="s">
        <v>40</v>
      </c>
      <c r="J17" s="320"/>
      <c r="K17" s="395"/>
      <c r="L17" s="395"/>
      <c r="M17" s="395"/>
      <c r="N17" s="395"/>
      <c r="O17" s="395"/>
    </row>
    <row r="18" spans="1:15" ht="15.75" thickBot="1" x14ac:dyDescent="0.3">
      <c r="A18" s="326"/>
      <c r="B18" s="327"/>
      <c r="C18" s="328" t="s">
        <v>52</v>
      </c>
      <c r="D18" s="329"/>
      <c r="E18" s="329"/>
      <c r="F18" s="329"/>
      <c r="G18" s="330"/>
      <c r="H18" s="330"/>
      <c r="I18" s="331"/>
      <c r="K18" s="318" t="s">
        <v>8</v>
      </c>
    </row>
    <row r="19" spans="1:15" ht="63.75" x14ac:dyDescent="0.25">
      <c r="A19" s="117">
        <v>1</v>
      </c>
      <c r="B19" s="118" t="s">
        <v>7</v>
      </c>
      <c r="C19" s="119" t="s">
        <v>212</v>
      </c>
      <c r="D19" s="120" t="s">
        <v>53</v>
      </c>
      <c r="E19" s="121">
        <f>1245.84+728.4+218.25</f>
        <v>2192.4899999999998</v>
      </c>
      <c r="F19" s="122"/>
      <c r="G19" s="123">
        <v>0</v>
      </c>
      <c r="H19" s="124"/>
      <c r="I19" s="123">
        <f t="shared" ref="I19:I24" si="0">E19*G19</f>
        <v>0</v>
      </c>
      <c r="K19" s="319">
        <f>E19+E20</f>
        <v>2260.2999999999997</v>
      </c>
      <c r="L19" s="318" t="s">
        <v>93</v>
      </c>
      <c r="N19" s="318">
        <v>225</v>
      </c>
    </row>
    <row r="20" spans="1:15" ht="38.25" x14ac:dyDescent="0.25">
      <c r="A20" s="106">
        <v>4</v>
      </c>
      <c r="B20" s="107" t="s">
        <v>7</v>
      </c>
      <c r="C20" s="108" t="s">
        <v>54</v>
      </c>
      <c r="D20" s="109" t="s">
        <v>53</v>
      </c>
      <c r="E20" s="110">
        <f>38.53+22.53+6.75</f>
        <v>67.81</v>
      </c>
      <c r="F20" s="111"/>
      <c r="G20" s="114">
        <v>0</v>
      </c>
      <c r="H20" s="113"/>
      <c r="I20" s="114">
        <f t="shared" si="0"/>
        <v>0</v>
      </c>
      <c r="K20" s="319">
        <f>E23+E25</f>
        <v>199.32</v>
      </c>
      <c r="L20" s="318" t="s">
        <v>163</v>
      </c>
      <c r="N20" s="318">
        <f>3%*N19</f>
        <v>6.75</v>
      </c>
      <c r="O20" s="318">
        <f>N19-N20</f>
        <v>218.25</v>
      </c>
    </row>
    <row r="21" spans="1:15" x14ac:dyDescent="0.25">
      <c r="A21" s="332" t="s">
        <v>28</v>
      </c>
      <c r="B21" s="333" t="s">
        <v>7</v>
      </c>
      <c r="C21" s="334" t="s">
        <v>186</v>
      </c>
      <c r="D21" s="335" t="s">
        <v>8</v>
      </c>
      <c r="E21" s="336">
        <v>67.81</v>
      </c>
      <c r="F21" s="337"/>
      <c r="G21" s="338">
        <v>0</v>
      </c>
      <c r="H21" s="337"/>
      <c r="I21" s="338">
        <v>0</v>
      </c>
    </row>
    <row r="22" spans="1:15" x14ac:dyDescent="0.25">
      <c r="A22" s="332" t="s">
        <v>30</v>
      </c>
      <c r="B22" s="333" t="s">
        <v>7</v>
      </c>
      <c r="C22" s="334" t="s">
        <v>187</v>
      </c>
      <c r="D22" s="335" t="s">
        <v>31</v>
      </c>
      <c r="E22" s="336">
        <f>(E19+E20)*1.6</f>
        <v>3616.4799999999996</v>
      </c>
      <c r="F22" s="337"/>
      <c r="G22" s="338">
        <v>0</v>
      </c>
      <c r="H22" s="337"/>
      <c r="I22" s="338">
        <v>0</v>
      </c>
    </row>
    <row r="23" spans="1:15" ht="25.5" x14ac:dyDescent="0.25">
      <c r="A23" s="106" t="s">
        <v>36</v>
      </c>
      <c r="B23" s="107" t="s">
        <v>7</v>
      </c>
      <c r="C23" s="108" t="s">
        <v>9</v>
      </c>
      <c r="D23" s="109" t="s">
        <v>53</v>
      </c>
      <c r="E23" s="110">
        <f>21.27+15.18</f>
        <v>36.450000000000003</v>
      </c>
      <c r="F23" s="111"/>
      <c r="G23" s="114">
        <v>0</v>
      </c>
      <c r="H23" s="113"/>
      <c r="I23" s="114">
        <f t="shared" si="0"/>
        <v>0</v>
      </c>
      <c r="K23" s="318">
        <v>3.83</v>
      </c>
      <c r="L23" s="318" t="s">
        <v>164</v>
      </c>
    </row>
    <row r="24" spans="1:15" ht="38.25" x14ac:dyDescent="0.25">
      <c r="A24" s="125" t="s">
        <v>10</v>
      </c>
      <c r="B24" s="126" t="s">
        <v>11</v>
      </c>
      <c r="C24" s="127" t="s">
        <v>12</v>
      </c>
      <c r="D24" s="109" t="s">
        <v>8</v>
      </c>
      <c r="E24" s="110">
        <f>1.1*E23</f>
        <v>40.095000000000006</v>
      </c>
      <c r="F24" s="128">
        <v>0</v>
      </c>
      <c r="G24" s="129"/>
      <c r="H24" s="130">
        <f>E24*F24</f>
        <v>0</v>
      </c>
      <c r="I24" s="129">
        <f t="shared" si="0"/>
        <v>0</v>
      </c>
      <c r="K24" s="318">
        <v>49.22</v>
      </c>
    </row>
    <row r="25" spans="1:15" ht="25.5" x14ac:dyDescent="0.25">
      <c r="A25" s="106" t="s">
        <v>37</v>
      </c>
      <c r="B25" s="107" t="s">
        <v>7</v>
      </c>
      <c r="C25" s="108" t="s">
        <v>97</v>
      </c>
      <c r="D25" s="109" t="s">
        <v>53</v>
      </c>
      <c r="E25" s="110">
        <f>98.21+64.66</f>
        <v>162.87</v>
      </c>
      <c r="F25" s="111"/>
      <c r="G25" s="114">
        <v>0</v>
      </c>
      <c r="H25" s="113"/>
      <c r="I25" s="114">
        <f>E25*G25</f>
        <v>0</v>
      </c>
      <c r="K25" s="318">
        <v>7.4</v>
      </c>
    </row>
    <row r="26" spans="1:15" ht="38.25" x14ac:dyDescent="0.25">
      <c r="A26" s="125" t="s">
        <v>13</v>
      </c>
      <c r="B26" s="126" t="s">
        <v>11</v>
      </c>
      <c r="C26" s="127" t="s">
        <v>12</v>
      </c>
      <c r="D26" s="109" t="s">
        <v>53</v>
      </c>
      <c r="E26" s="110">
        <f>1.1*E25</f>
        <v>179.15700000000001</v>
      </c>
      <c r="F26" s="128">
        <v>0</v>
      </c>
      <c r="G26" s="129"/>
      <c r="H26" s="130">
        <f>E26*F26</f>
        <v>0</v>
      </c>
      <c r="I26" s="129"/>
      <c r="K26" s="319">
        <f>K19-K20-K22-K23-K24-K25</f>
        <v>2000.5299999999995</v>
      </c>
    </row>
    <row r="27" spans="1:15" ht="51" x14ac:dyDescent="0.25">
      <c r="A27" s="106" t="s">
        <v>47</v>
      </c>
      <c r="B27" s="107" t="s">
        <v>7</v>
      </c>
      <c r="C27" s="108" t="s">
        <v>55</v>
      </c>
      <c r="D27" s="109" t="s">
        <v>8</v>
      </c>
      <c r="E27" s="110">
        <v>2000.53</v>
      </c>
      <c r="F27" s="111"/>
      <c r="G27" s="112">
        <v>0</v>
      </c>
      <c r="H27" s="113"/>
      <c r="I27" s="114">
        <f t="shared" ref="I27:I29" si="1">E27*G27</f>
        <v>0</v>
      </c>
    </row>
    <row r="28" spans="1:15" ht="38.25" x14ac:dyDescent="0.25">
      <c r="A28" s="125" t="s">
        <v>13</v>
      </c>
      <c r="B28" s="126" t="s">
        <v>11</v>
      </c>
      <c r="C28" s="127" t="s">
        <v>12</v>
      </c>
      <c r="D28" s="109" t="s">
        <v>53</v>
      </c>
      <c r="E28" s="110">
        <f>1.1*E27</f>
        <v>2200.5830000000001</v>
      </c>
      <c r="F28" s="128">
        <v>0</v>
      </c>
      <c r="G28" s="129"/>
      <c r="H28" s="130">
        <f>E28*F28</f>
        <v>0</v>
      </c>
      <c r="I28" s="129"/>
    </row>
    <row r="29" spans="1:15" ht="21.75" customHeight="1" thickBot="1" x14ac:dyDescent="0.3">
      <c r="A29" s="131" t="s">
        <v>49</v>
      </c>
      <c r="B29" s="132" t="s">
        <v>7</v>
      </c>
      <c r="C29" s="133" t="s">
        <v>15</v>
      </c>
      <c r="D29" s="134" t="s">
        <v>45</v>
      </c>
      <c r="E29" s="135">
        <v>0</v>
      </c>
      <c r="F29" s="136"/>
      <c r="G29" s="137">
        <v>0</v>
      </c>
      <c r="H29" s="138"/>
      <c r="I29" s="137">
        <f t="shared" si="1"/>
        <v>0</v>
      </c>
    </row>
    <row r="30" spans="1:15" ht="15.75" thickBot="1" x14ac:dyDescent="0.3">
      <c r="A30" s="210"/>
      <c r="B30" s="211"/>
      <c r="C30" s="212" t="s">
        <v>16</v>
      </c>
      <c r="D30" s="213"/>
      <c r="E30" s="214"/>
      <c r="F30" s="221"/>
      <c r="G30" s="222"/>
      <c r="H30" s="223">
        <f>SUM(H24:H29)</f>
        <v>0</v>
      </c>
      <c r="I30" s="222">
        <f>SUM(I19:I29)</f>
        <v>0</v>
      </c>
    </row>
    <row r="31" spans="1:15" ht="15.75" thickBot="1" x14ac:dyDescent="0.3">
      <c r="A31" s="224"/>
      <c r="B31" s="225"/>
      <c r="C31" s="212" t="s">
        <v>17</v>
      </c>
      <c r="D31" s="226"/>
      <c r="E31" s="226"/>
      <c r="F31" s="215"/>
      <c r="G31" s="215"/>
      <c r="H31" s="215"/>
      <c r="I31" s="227">
        <f>H30+I30</f>
        <v>0</v>
      </c>
    </row>
    <row r="32" spans="1:15" ht="15.75" thickBot="1" x14ac:dyDescent="0.3">
      <c r="A32" s="412" t="s">
        <v>56</v>
      </c>
      <c r="B32" s="408"/>
      <c r="C32" s="408"/>
      <c r="D32" s="408"/>
      <c r="E32" s="408"/>
      <c r="F32" s="408"/>
      <c r="G32" s="408"/>
      <c r="H32" s="408"/>
      <c r="I32" s="413"/>
    </row>
    <row r="33" spans="1:10" ht="38.25" customHeight="1" x14ac:dyDescent="0.25">
      <c r="A33" s="117" t="s">
        <v>18</v>
      </c>
      <c r="B33" s="118" t="s">
        <v>7</v>
      </c>
      <c r="C33" s="119" t="s">
        <v>123</v>
      </c>
      <c r="D33" s="139" t="s">
        <v>19</v>
      </c>
      <c r="E33" s="140">
        <f>114.4+32.05</f>
        <v>146.44999999999999</v>
      </c>
      <c r="F33" s="124"/>
      <c r="G33" s="141">
        <v>0</v>
      </c>
      <c r="H33" s="124"/>
      <c r="I33" s="141">
        <f>E33*G33</f>
        <v>0</v>
      </c>
      <c r="J33" s="399"/>
    </row>
    <row r="34" spans="1:10" ht="40.5" customHeight="1" x14ac:dyDescent="0.25">
      <c r="A34" s="125" t="s">
        <v>20</v>
      </c>
      <c r="B34" s="126" t="s">
        <v>11</v>
      </c>
      <c r="C34" s="127" t="s">
        <v>124</v>
      </c>
      <c r="D34" s="142" t="s">
        <v>19</v>
      </c>
      <c r="E34" s="143">
        <f>1.025*E33</f>
        <v>150.11124999999998</v>
      </c>
      <c r="F34" s="130">
        <v>0</v>
      </c>
      <c r="G34" s="144"/>
      <c r="H34" s="130">
        <f>E34*F34</f>
        <v>0</v>
      </c>
      <c r="I34" s="144"/>
    </row>
    <row r="35" spans="1:10" ht="37.5" customHeight="1" x14ac:dyDescent="0.25">
      <c r="A35" s="125" t="s">
        <v>57</v>
      </c>
      <c r="B35" s="126" t="s">
        <v>11</v>
      </c>
      <c r="C35" s="127" t="s">
        <v>125</v>
      </c>
      <c r="D35" s="142" t="s">
        <v>24</v>
      </c>
      <c r="E35" s="143">
        <v>14</v>
      </c>
      <c r="F35" s="130">
        <v>0</v>
      </c>
      <c r="G35" s="145"/>
      <c r="H35" s="130">
        <f>E35*F35</f>
        <v>0</v>
      </c>
      <c r="I35" s="145"/>
    </row>
    <row r="36" spans="1:10" ht="37.5" customHeight="1" x14ac:dyDescent="0.25">
      <c r="A36" s="106" t="s">
        <v>21</v>
      </c>
      <c r="B36" s="169" t="s">
        <v>7</v>
      </c>
      <c r="C36" s="146" t="s">
        <v>126</v>
      </c>
      <c r="D36" s="109" t="s">
        <v>19</v>
      </c>
      <c r="E36" s="140">
        <v>3.75</v>
      </c>
      <c r="F36" s="113"/>
      <c r="G36" s="141">
        <v>0</v>
      </c>
      <c r="H36" s="130"/>
      <c r="I36" s="141">
        <f>E36*G36</f>
        <v>0</v>
      </c>
    </row>
    <row r="37" spans="1:10" ht="38.25" x14ac:dyDescent="0.25">
      <c r="A37" s="125" t="s">
        <v>22</v>
      </c>
      <c r="B37" s="126" t="s">
        <v>11</v>
      </c>
      <c r="C37" s="155" t="s">
        <v>127</v>
      </c>
      <c r="D37" s="157" t="s">
        <v>19</v>
      </c>
      <c r="E37" s="143">
        <f>1.025*E36</f>
        <v>3.8437499999999996</v>
      </c>
      <c r="F37" s="130">
        <v>0</v>
      </c>
      <c r="G37" s="144"/>
      <c r="H37" s="130">
        <f>E37*F37</f>
        <v>0</v>
      </c>
      <c r="I37" s="144"/>
    </row>
    <row r="38" spans="1:10" ht="37.5" customHeight="1" x14ac:dyDescent="0.25">
      <c r="A38" s="125" t="s">
        <v>23</v>
      </c>
      <c r="B38" s="126" t="s">
        <v>11</v>
      </c>
      <c r="C38" s="155" t="s">
        <v>128</v>
      </c>
      <c r="D38" s="157" t="s">
        <v>24</v>
      </c>
      <c r="E38" s="143">
        <v>2</v>
      </c>
      <c r="F38" s="130">
        <v>0</v>
      </c>
      <c r="G38" s="145"/>
      <c r="H38" s="130">
        <f>E38*F38</f>
        <v>0</v>
      </c>
      <c r="I38" s="141"/>
    </row>
    <row r="39" spans="1:10" ht="37.5" customHeight="1" x14ac:dyDescent="0.25">
      <c r="A39" s="106" t="s">
        <v>28</v>
      </c>
      <c r="B39" s="107" t="s">
        <v>7</v>
      </c>
      <c r="C39" s="170" t="s">
        <v>98</v>
      </c>
      <c r="D39" s="139" t="s">
        <v>19</v>
      </c>
      <c r="E39" s="140">
        <v>43.5</v>
      </c>
      <c r="F39" s="113"/>
      <c r="G39" s="228">
        <v>0</v>
      </c>
      <c r="H39" s="113"/>
      <c r="I39" s="141">
        <f>E39*G39</f>
        <v>0</v>
      </c>
    </row>
    <row r="40" spans="1:10" ht="37.5" customHeight="1" x14ac:dyDescent="0.25">
      <c r="A40" s="125" t="s">
        <v>29</v>
      </c>
      <c r="B40" s="126" t="s">
        <v>11</v>
      </c>
      <c r="C40" s="160" t="s">
        <v>215</v>
      </c>
      <c r="D40" s="142" t="s">
        <v>19</v>
      </c>
      <c r="E40" s="143">
        <f>1.025*E39</f>
        <v>44.587499999999999</v>
      </c>
      <c r="F40" s="130">
        <v>0</v>
      </c>
      <c r="G40" s="145"/>
      <c r="H40" s="130">
        <f t="shared" ref="H40:H44" si="2">E40*F40</f>
        <v>0</v>
      </c>
      <c r="I40" s="141"/>
    </row>
    <row r="41" spans="1:10" ht="37.5" customHeight="1" x14ac:dyDescent="0.25">
      <c r="A41" s="125" t="s">
        <v>58</v>
      </c>
      <c r="B41" s="126" t="s">
        <v>11</v>
      </c>
      <c r="C41" s="479" t="s">
        <v>219</v>
      </c>
      <c r="D41" s="142" t="s">
        <v>24</v>
      </c>
      <c r="E41" s="143">
        <v>4</v>
      </c>
      <c r="F41" s="130">
        <v>0</v>
      </c>
      <c r="G41" s="145"/>
      <c r="H41" s="130">
        <f t="shared" si="2"/>
        <v>0</v>
      </c>
      <c r="I41" s="141"/>
    </row>
    <row r="42" spans="1:10" ht="45.75" customHeight="1" x14ac:dyDescent="0.25">
      <c r="A42" s="492" t="s">
        <v>30</v>
      </c>
      <c r="B42" s="493" t="s">
        <v>7</v>
      </c>
      <c r="C42" s="455" t="s">
        <v>94</v>
      </c>
      <c r="D42" s="494" t="s">
        <v>19</v>
      </c>
      <c r="E42" s="495">
        <v>17.600000000000001</v>
      </c>
      <c r="F42" s="496"/>
      <c r="G42" s="145">
        <v>0</v>
      </c>
      <c r="H42" s="496">
        <f t="shared" si="2"/>
        <v>0</v>
      </c>
      <c r="I42" s="145">
        <f>E42*G42</f>
        <v>0</v>
      </c>
    </row>
    <row r="43" spans="1:10" ht="42.75" customHeight="1" x14ac:dyDescent="0.25">
      <c r="A43" s="497" t="s">
        <v>25</v>
      </c>
      <c r="B43" s="498" t="s">
        <v>11</v>
      </c>
      <c r="C43" s="499" t="s">
        <v>95</v>
      </c>
      <c r="D43" s="500" t="s">
        <v>19</v>
      </c>
      <c r="E43" s="501">
        <f>1.025*E42</f>
        <v>18.04</v>
      </c>
      <c r="F43" s="502">
        <v>0</v>
      </c>
      <c r="G43" s="156"/>
      <c r="H43" s="496">
        <f t="shared" si="2"/>
        <v>0</v>
      </c>
      <c r="I43" s="156"/>
    </row>
    <row r="44" spans="1:10" ht="25.5" x14ac:dyDescent="0.25">
      <c r="A44" s="503" t="s">
        <v>26</v>
      </c>
      <c r="B44" s="504" t="s">
        <v>11</v>
      </c>
      <c r="C44" s="505" t="s">
        <v>96</v>
      </c>
      <c r="D44" s="494" t="s">
        <v>24</v>
      </c>
      <c r="E44" s="506">
        <v>8</v>
      </c>
      <c r="F44" s="496">
        <v>0</v>
      </c>
      <c r="G44" s="145"/>
      <c r="H44" s="496">
        <f t="shared" si="2"/>
        <v>0</v>
      </c>
      <c r="I44" s="145"/>
    </row>
    <row r="45" spans="1:10" ht="39" thickBot="1" x14ac:dyDescent="0.3">
      <c r="A45" s="339" t="s">
        <v>35</v>
      </c>
      <c r="B45" s="340" t="s">
        <v>7</v>
      </c>
      <c r="C45" s="341" t="s">
        <v>149</v>
      </c>
      <c r="D45" s="342" t="s">
        <v>24</v>
      </c>
      <c r="E45" s="343">
        <v>1</v>
      </c>
      <c r="F45" s="344"/>
      <c r="G45" s="507">
        <v>0</v>
      </c>
      <c r="H45" s="508"/>
      <c r="I45" s="509">
        <f>E45*G45</f>
        <v>0</v>
      </c>
    </row>
    <row r="46" spans="1:10" ht="15.75" thickBot="1" x14ac:dyDescent="0.3">
      <c r="A46" s="229"/>
      <c r="B46" s="230"/>
      <c r="C46" s="231" t="s">
        <v>16</v>
      </c>
      <c r="D46" s="232"/>
      <c r="E46" s="233"/>
      <c r="F46" s="234"/>
      <c r="G46" s="234"/>
      <c r="H46" s="235">
        <f>SUM(H34:H44)</f>
        <v>0</v>
      </c>
      <c r="I46" s="236">
        <f>SUM(I33:I44)</f>
        <v>0</v>
      </c>
    </row>
    <row r="47" spans="1:10" ht="15.75" thickBot="1" x14ac:dyDescent="0.3">
      <c r="A47" s="237"/>
      <c r="B47" s="238"/>
      <c r="C47" s="231" t="s">
        <v>17</v>
      </c>
      <c r="D47" s="239"/>
      <c r="E47" s="233"/>
      <c r="F47" s="234"/>
      <c r="G47" s="234"/>
      <c r="H47" s="227"/>
      <c r="I47" s="227">
        <f>H46+I46</f>
        <v>0</v>
      </c>
    </row>
    <row r="48" spans="1:10" ht="16.5" thickBot="1" x14ac:dyDescent="0.3">
      <c r="A48" s="414" t="s">
        <v>130</v>
      </c>
      <c r="B48" s="415"/>
      <c r="C48" s="415"/>
      <c r="D48" s="415"/>
      <c r="E48" s="415"/>
      <c r="F48" s="415"/>
      <c r="G48" s="415"/>
      <c r="H48" s="415"/>
      <c r="I48" s="416"/>
    </row>
    <row r="49" spans="1:13" ht="45.75" customHeight="1" x14ac:dyDescent="0.25">
      <c r="A49" s="254" t="s">
        <v>18</v>
      </c>
      <c r="B49" s="254" t="s">
        <v>7</v>
      </c>
      <c r="C49" s="345" t="s">
        <v>59</v>
      </c>
      <c r="D49" s="109" t="s">
        <v>19</v>
      </c>
      <c r="E49" s="110">
        <v>9.4499999999999993</v>
      </c>
      <c r="F49" s="113"/>
      <c r="G49" s="114">
        <v>0</v>
      </c>
      <c r="H49" s="113"/>
      <c r="I49" s="114">
        <f>E49*G49</f>
        <v>0</v>
      </c>
      <c r="J49" s="400"/>
    </row>
    <row r="50" spans="1:13" ht="51" x14ac:dyDescent="0.25">
      <c r="A50" s="259" t="s">
        <v>20</v>
      </c>
      <c r="B50" s="259" t="s">
        <v>11</v>
      </c>
      <c r="C50" s="155" t="s">
        <v>87</v>
      </c>
      <c r="D50" s="157" t="s">
        <v>19</v>
      </c>
      <c r="E50" s="346">
        <v>9.4499999999999993</v>
      </c>
      <c r="F50" s="130">
        <v>0</v>
      </c>
      <c r="G50" s="129"/>
      <c r="H50" s="130">
        <f>E50*F50</f>
        <v>0</v>
      </c>
      <c r="I50" s="129"/>
    </row>
    <row r="51" spans="1:13" ht="25.5" x14ac:dyDescent="0.25">
      <c r="A51" s="259" t="s">
        <v>120</v>
      </c>
      <c r="B51" s="259" t="s">
        <v>11</v>
      </c>
      <c r="C51" s="155" t="s">
        <v>88</v>
      </c>
      <c r="D51" s="157" t="s">
        <v>24</v>
      </c>
      <c r="E51" s="346">
        <v>2</v>
      </c>
      <c r="F51" s="130">
        <v>0</v>
      </c>
      <c r="G51" s="129"/>
      <c r="H51" s="130">
        <f>E51*F51</f>
        <v>0</v>
      </c>
      <c r="I51" s="129"/>
    </row>
    <row r="52" spans="1:13" ht="25.5" x14ac:dyDescent="0.25">
      <c r="A52" s="265" t="s">
        <v>28</v>
      </c>
      <c r="B52" s="265" t="s">
        <v>7</v>
      </c>
      <c r="C52" s="347" t="s">
        <v>39</v>
      </c>
      <c r="D52" s="199" t="s">
        <v>24</v>
      </c>
      <c r="E52" s="348">
        <v>2</v>
      </c>
      <c r="F52" s="270"/>
      <c r="G52" s="271">
        <v>0</v>
      </c>
      <c r="H52" s="270"/>
      <c r="I52" s="271">
        <f>E52*G52</f>
        <v>0</v>
      </c>
    </row>
    <row r="53" spans="1:13" x14ac:dyDescent="0.25">
      <c r="A53" s="265" t="s">
        <v>30</v>
      </c>
      <c r="B53" s="265" t="s">
        <v>7</v>
      </c>
      <c r="C53" s="347" t="s">
        <v>60</v>
      </c>
      <c r="D53" s="199" t="s">
        <v>24</v>
      </c>
      <c r="E53" s="348">
        <v>2</v>
      </c>
      <c r="F53" s="270"/>
      <c r="G53" s="271">
        <v>0</v>
      </c>
      <c r="H53" s="270"/>
      <c r="I53" s="271">
        <f>E53*G53</f>
        <v>0</v>
      </c>
    </row>
    <row r="54" spans="1:13" ht="25.5" x14ac:dyDescent="0.25">
      <c r="A54" s="273" t="s">
        <v>25</v>
      </c>
      <c r="B54" s="273" t="s">
        <v>11</v>
      </c>
      <c r="C54" s="349" t="s">
        <v>61</v>
      </c>
      <c r="D54" s="350" t="s">
        <v>24</v>
      </c>
      <c r="E54" s="351">
        <v>2</v>
      </c>
      <c r="F54" s="152">
        <v>0</v>
      </c>
      <c r="G54" s="278"/>
      <c r="H54" s="152">
        <f>E54*F54</f>
        <v>0</v>
      </c>
      <c r="I54" s="278"/>
    </row>
    <row r="55" spans="1:13" ht="15.75" thickBot="1" x14ac:dyDescent="0.3">
      <c r="A55" s="280" t="s">
        <v>35</v>
      </c>
      <c r="B55" s="280" t="s">
        <v>7</v>
      </c>
      <c r="C55" s="352" t="s">
        <v>62</v>
      </c>
      <c r="D55" s="353" t="s">
        <v>24</v>
      </c>
      <c r="E55" s="354">
        <v>2</v>
      </c>
      <c r="F55" s="285"/>
      <c r="G55" s="137">
        <v>0</v>
      </c>
      <c r="H55" s="285"/>
      <c r="I55" s="137">
        <f>E55*G55</f>
        <v>0</v>
      </c>
    </row>
    <row r="56" spans="1:13" ht="15.75" thickBot="1" x14ac:dyDescent="0.3">
      <c r="A56" s="287"/>
      <c r="B56" s="287"/>
      <c r="C56" s="417" t="s">
        <v>16</v>
      </c>
      <c r="D56" s="417"/>
      <c r="E56" s="418"/>
      <c r="F56" s="288"/>
      <c r="G56" s="289"/>
      <c r="H56" s="290">
        <f>SUM(H49:H55)</f>
        <v>0</v>
      </c>
      <c r="I56" s="291">
        <f>SUM(I49:I55)</f>
        <v>0</v>
      </c>
    </row>
    <row r="57" spans="1:13" ht="15.75" thickBot="1" x14ac:dyDescent="0.3">
      <c r="A57" s="292"/>
      <c r="B57" s="292"/>
      <c r="C57" s="417" t="s">
        <v>17</v>
      </c>
      <c r="D57" s="417"/>
      <c r="E57" s="418"/>
      <c r="F57" s="288"/>
      <c r="G57" s="289"/>
      <c r="H57" s="293"/>
      <c r="I57" s="291">
        <f>H56+I56</f>
        <v>0</v>
      </c>
    </row>
    <row r="58" spans="1:13" ht="15.75" thickBot="1" x14ac:dyDescent="0.3">
      <c r="A58" s="237"/>
      <c r="B58" s="238"/>
      <c r="C58" s="408" t="s">
        <v>131</v>
      </c>
      <c r="D58" s="408"/>
      <c r="E58" s="408"/>
      <c r="F58" s="408"/>
      <c r="G58" s="294"/>
      <c r="H58" s="294"/>
      <c r="I58" s="295"/>
    </row>
    <row r="59" spans="1:13" ht="25.5" x14ac:dyDescent="0.25">
      <c r="A59" s="173" t="s">
        <v>18</v>
      </c>
      <c r="B59" s="169" t="s">
        <v>7</v>
      </c>
      <c r="C59" s="170" t="s">
        <v>63</v>
      </c>
      <c r="D59" s="185" t="s">
        <v>8</v>
      </c>
      <c r="E59" s="186">
        <f>0.31*11+0.106*4</f>
        <v>3.8340000000000001</v>
      </c>
      <c r="F59" s="355"/>
      <c r="G59" s="164">
        <v>0</v>
      </c>
      <c r="H59" s="355"/>
      <c r="I59" s="164">
        <f>E59*G59</f>
        <v>0</v>
      </c>
    </row>
    <row r="60" spans="1:13" ht="43.5" customHeight="1" x14ac:dyDescent="0.25">
      <c r="A60" s="171" t="s">
        <v>20</v>
      </c>
      <c r="B60" s="159" t="s">
        <v>11</v>
      </c>
      <c r="C60" s="160" t="s">
        <v>64</v>
      </c>
      <c r="D60" s="161" t="s">
        <v>8</v>
      </c>
      <c r="E60" s="189">
        <f>1.25*E59</f>
        <v>4.7925000000000004</v>
      </c>
      <c r="F60" s="356">
        <v>0</v>
      </c>
      <c r="G60" s="172"/>
      <c r="H60" s="356">
        <f>E60*F60</f>
        <v>0</v>
      </c>
      <c r="I60" s="172"/>
    </row>
    <row r="61" spans="1:13" ht="51" x14ac:dyDescent="0.25">
      <c r="A61" s="106" t="s">
        <v>21</v>
      </c>
      <c r="B61" s="169" t="s">
        <v>7</v>
      </c>
      <c r="C61" s="170" t="s">
        <v>134</v>
      </c>
      <c r="D61" s="109" t="s">
        <v>8</v>
      </c>
      <c r="E61" s="166">
        <v>1.64</v>
      </c>
      <c r="F61" s="113"/>
      <c r="G61" s="114">
        <v>0</v>
      </c>
      <c r="H61" s="113"/>
      <c r="I61" s="114">
        <f>E61*G61</f>
        <v>0</v>
      </c>
      <c r="K61" s="318">
        <f>K62+K63+K64+K65+K66</f>
        <v>1.3900000000000001</v>
      </c>
      <c r="L61" s="318">
        <v>0.25</v>
      </c>
      <c r="M61" s="318">
        <f>K61+L61</f>
        <v>1.6400000000000001</v>
      </c>
    </row>
    <row r="62" spans="1:13" x14ac:dyDescent="0.25">
      <c r="A62" s="125" t="s">
        <v>22</v>
      </c>
      <c r="B62" s="126" t="s">
        <v>11</v>
      </c>
      <c r="C62" s="155" t="s">
        <v>65</v>
      </c>
      <c r="D62" s="157" t="s">
        <v>24</v>
      </c>
      <c r="E62" s="158">
        <v>1</v>
      </c>
      <c r="F62" s="130">
        <v>0</v>
      </c>
      <c r="G62" s="129"/>
      <c r="H62" s="130">
        <f t="shared" ref="H62:H68" si="3">E62*F62</f>
        <v>0</v>
      </c>
      <c r="I62" s="129"/>
      <c r="K62" s="318">
        <f>0.18*E62</f>
        <v>0.18</v>
      </c>
    </row>
    <row r="63" spans="1:13" ht="28.5" customHeight="1" x14ac:dyDescent="0.25">
      <c r="A63" s="125" t="s">
        <v>23</v>
      </c>
      <c r="B63" s="159" t="s">
        <v>11</v>
      </c>
      <c r="C63" s="160" t="s">
        <v>66</v>
      </c>
      <c r="D63" s="157" t="s">
        <v>24</v>
      </c>
      <c r="E63" s="158">
        <v>1</v>
      </c>
      <c r="F63" s="130">
        <v>0</v>
      </c>
      <c r="G63" s="129"/>
      <c r="H63" s="130">
        <f t="shared" si="3"/>
        <v>0</v>
      </c>
      <c r="I63" s="129"/>
      <c r="K63" s="318">
        <f>0.24*E63</f>
        <v>0.24</v>
      </c>
    </row>
    <row r="64" spans="1:13" x14ac:dyDescent="0.25">
      <c r="A64" s="125" t="s">
        <v>69</v>
      </c>
      <c r="B64" s="159" t="s">
        <v>11</v>
      </c>
      <c r="C64" s="160" t="s">
        <v>70</v>
      </c>
      <c r="D64" s="157" t="s">
        <v>24</v>
      </c>
      <c r="E64" s="158">
        <v>1</v>
      </c>
      <c r="F64" s="130">
        <v>0</v>
      </c>
      <c r="G64" s="129"/>
      <c r="H64" s="130">
        <f t="shared" si="3"/>
        <v>0</v>
      </c>
      <c r="I64" s="129"/>
      <c r="K64" s="318">
        <f>0.1*E64</f>
        <v>0.1</v>
      </c>
    </row>
    <row r="65" spans="1:13" x14ac:dyDescent="0.25">
      <c r="A65" s="125" t="s">
        <v>71</v>
      </c>
      <c r="B65" s="126" t="s">
        <v>11</v>
      </c>
      <c r="C65" s="155" t="s">
        <v>72</v>
      </c>
      <c r="D65" s="157" t="s">
        <v>24</v>
      </c>
      <c r="E65" s="158">
        <v>1</v>
      </c>
      <c r="F65" s="130">
        <v>0</v>
      </c>
      <c r="G65" s="129"/>
      <c r="H65" s="130">
        <f t="shared" si="3"/>
        <v>0</v>
      </c>
      <c r="I65" s="129"/>
      <c r="K65" s="318">
        <f>0.02*E65</f>
        <v>0.02</v>
      </c>
    </row>
    <row r="66" spans="1:13" x14ac:dyDescent="0.25">
      <c r="A66" s="125" t="s">
        <v>73</v>
      </c>
      <c r="B66" s="126" t="s">
        <v>11</v>
      </c>
      <c r="C66" s="155" t="s">
        <v>106</v>
      </c>
      <c r="D66" s="157" t="s">
        <v>24</v>
      </c>
      <c r="E66" s="158">
        <v>1</v>
      </c>
      <c r="F66" s="130">
        <v>0</v>
      </c>
      <c r="G66" s="129"/>
      <c r="H66" s="130">
        <f t="shared" si="3"/>
        <v>0</v>
      </c>
      <c r="I66" s="129"/>
      <c r="K66" s="318">
        <f>0.85*E66</f>
        <v>0.85</v>
      </c>
    </row>
    <row r="67" spans="1:13" x14ac:dyDescent="0.25">
      <c r="A67" s="125" t="s">
        <v>132</v>
      </c>
      <c r="B67" s="126" t="s">
        <v>11</v>
      </c>
      <c r="C67" s="155" t="s">
        <v>89</v>
      </c>
      <c r="D67" s="157" t="s">
        <v>24</v>
      </c>
      <c r="E67" s="158">
        <v>2</v>
      </c>
      <c r="F67" s="130">
        <v>0</v>
      </c>
      <c r="G67" s="129"/>
      <c r="H67" s="130">
        <f t="shared" si="3"/>
        <v>0</v>
      </c>
      <c r="I67" s="129"/>
    </row>
    <row r="68" spans="1:13" x14ac:dyDescent="0.25">
      <c r="A68" s="125" t="s">
        <v>133</v>
      </c>
      <c r="B68" s="126" t="s">
        <v>11</v>
      </c>
      <c r="C68" s="155" t="s">
        <v>74</v>
      </c>
      <c r="D68" s="157" t="s">
        <v>24</v>
      </c>
      <c r="E68" s="158">
        <v>2</v>
      </c>
      <c r="F68" s="130">
        <v>0</v>
      </c>
      <c r="G68" s="129"/>
      <c r="H68" s="130">
        <f t="shared" si="3"/>
        <v>0</v>
      </c>
      <c r="I68" s="129"/>
    </row>
    <row r="69" spans="1:13" ht="51" x14ac:dyDescent="0.25">
      <c r="A69" s="106" t="s">
        <v>28</v>
      </c>
      <c r="B69" s="107" t="s">
        <v>7</v>
      </c>
      <c r="C69" s="165" t="s">
        <v>137</v>
      </c>
      <c r="D69" s="109" t="s">
        <v>8</v>
      </c>
      <c r="E69" s="166">
        <v>35.270000000000003</v>
      </c>
      <c r="F69" s="113"/>
      <c r="G69" s="114">
        <v>0</v>
      </c>
      <c r="H69" s="113"/>
      <c r="I69" s="114">
        <f>E69*G69</f>
        <v>0</v>
      </c>
      <c r="K69" s="318">
        <f>K70+K71+K72+K73+K74+K75+K76</f>
        <v>27.224999999999998</v>
      </c>
      <c r="L69" s="318">
        <f>0.7*7+0.65+1.05+0.65+0.25+0.54</f>
        <v>8.0399999999999991</v>
      </c>
      <c r="M69" s="318">
        <f>K69+L69</f>
        <v>35.265000000000001</v>
      </c>
    </row>
    <row r="70" spans="1:13" x14ac:dyDescent="0.25">
      <c r="A70" s="171" t="s">
        <v>29</v>
      </c>
      <c r="B70" s="159" t="s">
        <v>11</v>
      </c>
      <c r="C70" s="160" t="s">
        <v>75</v>
      </c>
      <c r="D70" s="161" t="s">
        <v>24</v>
      </c>
      <c r="E70" s="162">
        <v>11</v>
      </c>
      <c r="F70" s="163">
        <v>0</v>
      </c>
      <c r="G70" s="357"/>
      <c r="H70" s="356">
        <f t="shared" ref="H70:H84" si="4">E70*F70</f>
        <v>0</v>
      </c>
      <c r="I70" s="172"/>
      <c r="K70" s="318">
        <f>0.38*E70</f>
        <v>4.18</v>
      </c>
    </row>
    <row r="71" spans="1:13" ht="25.5" x14ac:dyDescent="0.25">
      <c r="A71" s="171" t="s">
        <v>58</v>
      </c>
      <c r="B71" s="159" t="s">
        <v>11</v>
      </c>
      <c r="C71" s="160" t="s">
        <v>76</v>
      </c>
      <c r="D71" s="161" t="s">
        <v>24</v>
      </c>
      <c r="E71" s="162">
        <f>2+2+2+1+1+2+1</f>
        <v>11</v>
      </c>
      <c r="F71" s="163">
        <v>0</v>
      </c>
      <c r="G71" s="357"/>
      <c r="H71" s="356">
        <f t="shared" si="4"/>
        <v>0</v>
      </c>
      <c r="I71" s="172"/>
      <c r="K71" s="318">
        <f>0.265*E71</f>
        <v>2.915</v>
      </c>
    </row>
    <row r="72" spans="1:13" ht="25.5" x14ac:dyDescent="0.25">
      <c r="A72" s="171" t="s">
        <v>77</v>
      </c>
      <c r="B72" s="159" t="s">
        <v>11</v>
      </c>
      <c r="C72" s="160" t="s">
        <v>78</v>
      </c>
      <c r="D72" s="161" t="s">
        <v>24</v>
      </c>
      <c r="E72" s="162">
        <f>1+1+2+1+3+3+2+2+2+2+1</f>
        <v>20</v>
      </c>
      <c r="F72" s="163">
        <v>0</v>
      </c>
      <c r="G72" s="357"/>
      <c r="H72" s="356">
        <f t="shared" si="4"/>
        <v>0</v>
      </c>
      <c r="I72" s="172"/>
      <c r="K72" s="318">
        <f>0.4*E72</f>
        <v>8</v>
      </c>
    </row>
    <row r="73" spans="1:13" ht="24" customHeight="1" x14ac:dyDescent="0.25">
      <c r="A73" s="171" t="s">
        <v>79</v>
      </c>
      <c r="B73" s="159" t="s">
        <v>11</v>
      </c>
      <c r="C73" s="160" t="s">
        <v>80</v>
      </c>
      <c r="D73" s="161" t="s">
        <v>24</v>
      </c>
      <c r="E73" s="162">
        <f>1+1+1+1+1+1+1+1+1+1+1</f>
        <v>11</v>
      </c>
      <c r="F73" s="163">
        <v>0</v>
      </c>
      <c r="G73" s="357"/>
      <c r="H73" s="356">
        <f t="shared" si="4"/>
        <v>0</v>
      </c>
      <c r="I73" s="172"/>
      <c r="K73" s="318">
        <f>0.27*E73</f>
        <v>2.97</v>
      </c>
    </row>
    <row r="74" spans="1:13" ht="36" customHeight="1" x14ac:dyDescent="0.25">
      <c r="A74" s="171" t="s">
        <v>81</v>
      </c>
      <c r="B74" s="159" t="s">
        <v>11</v>
      </c>
      <c r="C74" s="160" t="s">
        <v>99</v>
      </c>
      <c r="D74" s="161" t="s">
        <v>24</v>
      </c>
      <c r="E74" s="162">
        <f>1+1+1+1</f>
        <v>4</v>
      </c>
      <c r="F74" s="163">
        <v>0</v>
      </c>
      <c r="G74" s="357"/>
      <c r="H74" s="356">
        <f>E74*F74</f>
        <v>0</v>
      </c>
      <c r="I74" s="172"/>
      <c r="K74" s="318">
        <f>0.05*E74</f>
        <v>0.2</v>
      </c>
    </row>
    <row r="75" spans="1:13" x14ac:dyDescent="0.25">
      <c r="A75" s="171" t="s">
        <v>82</v>
      </c>
      <c r="B75" s="159" t="s">
        <v>11</v>
      </c>
      <c r="C75" s="155" t="s">
        <v>72</v>
      </c>
      <c r="D75" s="157" t="s">
        <v>24</v>
      </c>
      <c r="E75" s="158">
        <f>1+3+4+1+2+1+1+1+4+4+1</f>
        <v>23</v>
      </c>
      <c r="F75" s="163">
        <v>0</v>
      </c>
      <c r="G75" s="358"/>
      <c r="H75" s="356">
        <f t="shared" si="4"/>
        <v>0</v>
      </c>
      <c r="I75" s="129"/>
      <c r="K75" s="318">
        <f>0.02*E75</f>
        <v>0.46</v>
      </c>
    </row>
    <row r="76" spans="1:13" x14ac:dyDescent="0.25">
      <c r="A76" s="171" t="s">
        <v>111</v>
      </c>
      <c r="B76" s="159" t="s">
        <v>11</v>
      </c>
      <c r="C76" s="155" t="s">
        <v>106</v>
      </c>
      <c r="D76" s="157" t="s">
        <v>24</v>
      </c>
      <c r="E76" s="158">
        <f>1+1+1+1+1+1+1+1+1+1</f>
        <v>10</v>
      </c>
      <c r="F76" s="163">
        <v>0</v>
      </c>
      <c r="G76" s="358"/>
      <c r="H76" s="356">
        <f>E76*F76</f>
        <v>0</v>
      </c>
      <c r="I76" s="129"/>
      <c r="K76" s="318">
        <f>0.85*E76</f>
        <v>8.5</v>
      </c>
    </row>
    <row r="77" spans="1:13" x14ac:dyDescent="0.25">
      <c r="A77" s="171" t="s">
        <v>112</v>
      </c>
      <c r="B77" s="159" t="s">
        <v>11</v>
      </c>
      <c r="C77" s="155" t="s">
        <v>90</v>
      </c>
      <c r="D77" s="157" t="s">
        <v>24</v>
      </c>
      <c r="E77" s="158">
        <v>2</v>
      </c>
      <c r="F77" s="163">
        <v>0</v>
      </c>
      <c r="G77" s="358"/>
      <c r="H77" s="356">
        <f t="shared" ref="H77:H78" si="5">E77*F77</f>
        <v>0</v>
      </c>
      <c r="I77" s="129"/>
    </row>
    <row r="78" spans="1:13" x14ac:dyDescent="0.25">
      <c r="A78" s="171" t="s">
        <v>113</v>
      </c>
      <c r="B78" s="159" t="s">
        <v>11</v>
      </c>
      <c r="C78" s="155" t="s">
        <v>92</v>
      </c>
      <c r="D78" s="157" t="s">
        <v>24</v>
      </c>
      <c r="E78" s="158">
        <v>1</v>
      </c>
      <c r="F78" s="163">
        <v>0</v>
      </c>
      <c r="G78" s="358"/>
      <c r="H78" s="356">
        <f t="shared" si="5"/>
        <v>0</v>
      </c>
      <c r="I78" s="129"/>
    </row>
    <row r="79" spans="1:13" x14ac:dyDescent="0.25">
      <c r="A79" s="171" t="s">
        <v>114</v>
      </c>
      <c r="B79" s="159" t="s">
        <v>11</v>
      </c>
      <c r="C79" s="155" t="s">
        <v>121</v>
      </c>
      <c r="D79" s="157" t="s">
        <v>24</v>
      </c>
      <c r="E79" s="158">
        <f>1+1+1</f>
        <v>3</v>
      </c>
      <c r="F79" s="163">
        <v>0</v>
      </c>
      <c r="G79" s="358"/>
      <c r="H79" s="356">
        <f t="shared" ref="H79:H83" si="6">E79*F79</f>
        <v>0</v>
      </c>
      <c r="I79" s="129"/>
    </row>
    <row r="80" spans="1:13" x14ac:dyDescent="0.25">
      <c r="A80" s="171" t="s">
        <v>115</v>
      </c>
      <c r="B80" s="159" t="s">
        <v>11</v>
      </c>
      <c r="C80" s="155" t="s">
        <v>91</v>
      </c>
      <c r="D80" s="157" t="s">
        <v>24</v>
      </c>
      <c r="E80" s="158">
        <f>1+1</f>
        <v>2</v>
      </c>
      <c r="F80" s="163">
        <v>0</v>
      </c>
      <c r="G80" s="358"/>
      <c r="H80" s="356">
        <f t="shared" si="6"/>
        <v>0</v>
      </c>
      <c r="I80" s="129"/>
    </row>
    <row r="81" spans="1:12" x14ac:dyDescent="0.25">
      <c r="A81" s="171" t="s">
        <v>138</v>
      </c>
      <c r="B81" s="159" t="s">
        <v>11</v>
      </c>
      <c r="C81" s="155" t="s">
        <v>101</v>
      </c>
      <c r="D81" s="157" t="s">
        <v>24</v>
      </c>
      <c r="E81" s="158">
        <v>1</v>
      </c>
      <c r="F81" s="163">
        <v>0</v>
      </c>
      <c r="G81" s="358"/>
      <c r="H81" s="356">
        <f t="shared" si="6"/>
        <v>0</v>
      </c>
      <c r="I81" s="129"/>
    </row>
    <row r="82" spans="1:12" x14ac:dyDescent="0.25">
      <c r="A82" s="171" t="s">
        <v>139</v>
      </c>
      <c r="B82" s="159" t="s">
        <v>11</v>
      </c>
      <c r="C82" s="155" t="s">
        <v>102</v>
      </c>
      <c r="D82" s="157" t="s">
        <v>24</v>
      </c>
      <c r="E82" s="158">
        <v>1</v>
      </c>
      <c r="F82" s="163">
        <v>0</v>
      </c>
      <c r="G82" s="358"/>
      <c r="H82" s="356">
        <f t="shared" si="6"/>
        <v>0</v>
      </c>
      <c r="I82" s="129"/>
    </row>
    <row r="83" spans="1:12" x14ac:dyDescent="0.25">
      <c r="A83" s="171" t="s">
        <v>140</v>
      </c>
      <c r="B83" s="159" t="s">
        <v>11</v>
      </c>
      <c r="C83" s="155" t="s">
        <v>110</v>
      </c>
      <c r="D83" s="157" t="s">
        <v>24</v>
      </c>
      <c r="E83" s="158">
        <v>1</v>
      </c>
      <c r="F83" s="163">
        <v>0</v>
      </c>
      <c r="G83" s="358"/>
      <c r="H83" s="356">
        <f t="shared" si="6"/>
        <v>0</v>
      </c>
      <c r="I83" s="129"/>
    </row>
    <row r="84" spans="1:12" x14ac:dyDescent="0.25">
      <c r="A84" s="171" t="s">
        <v>141</v>
      </c>
      <c r="B84" s="159" t="s">
        <v>11</v>
      </c>
      <c r="C84" s="155" t="s">
        <v>74</v>
      </c>
      <c r="D84" s="157" t="s">
        <v>24</v>
      </c>
      <c r="E84" s="158">
        <f>2+2+3+3+2+2+3+3+2+3+3</f>
        <v>28</v>
      </c>
      <c r="F84" s="163">
        <v>0</v>
      </c>
      <c r="G84" s="358"/>
      <c r="H84" s="356">
        <f t="shared" si="4"/>
        <v>0</v>
      </c>
      <c r="I84" s="129"/>
    </row>
    <row r="85" spans="1:12" ht="38.25" x14ac:dyDescent="0.25">
      <c r="A85" s="173" t="s">
        <v>30</v>
      </c>
      <c r="B85" s="169" t="s">
        <v>7</v>
      </c>
      <c r="C85" s="165" t="s">
        <v>142</v>
      </c>
      <c r="D85" s="109" t="s">
        <v>19</v>
      </c>
      <c r="E85" s="166">
        <v>1.17</v>
      </c>
      <c r="F85" s="174"/>
      <c r="G85" s="359">
        <v>0</v>
      </c>
      <c r="H85" s="355"/>
      <c r="I85" s="114">
        <f>E85*G85</f>
        <v>0</v>
      </c>
    </row>
    <row r="86" spans="1:12" ht="28.5" customHeight="1" x14ac:dyDescent="0.25">
      <c r="A86" s="171" t="s">
        <v>25</v>
      </c>
      <c r="B86" s="159" t="s">
        <v>11</v>
      </c>
      <c r="C86" s="155" t="s">
        <v>116</v>
      </c>
      <c r="D86" s="157" t="s">
        <v>19</v>
      </c>
      <c r="E86" s="158">
        <v>1</v>
      </c>
      <c r="F86" s="163">
        <v>0</v>
      </c>
      <c r="G86" s="358"/>
      <c r="H86" s="356">
        <f>E86*F86</f>
        <v>0</v>
      </c>
      <c r="I86" s="129"/>
    </row>
    <row r="87" spans="1:12" ht="28.5" customHeight="1" x14ac:dyDescent="0.25">
      <c r="A87" s="171" t="s">
        <v>32</v>
      </c>
      <c r="B87" s="159" t="s">
        <v>11</v>
      </c>
      <c r="C87" s="155" t="s">
        <v>143</v>
      </c>
      <c r="D87" s="157" t="s">
        <v>24</v>
      </c>
      <c r="E87" s="158">
        <v>6</v>
      </c>
      <c r="F87" s="163">
        <v>0</v>
      </c>
      <c r="G87" s="358"/>
      <c r="H87" s="356">
        <f>E87*F87</f>
        <v>0</v>
      </c>
      <c r="I87" s="129"/>
    </row>
    <row r="88" spans="1:12" ht="28.5" customHeight="1" x14ac:dyDescent="0.25">
      <c r="A88" s="173" t="s">
        <v>35</v>
      </c>
      <c r="B88" s="169" t="s">
        <v>7</v>
      </c>
      <c r="C88" s="165" t="s">
        <v>146</v>
      </c>
      <c r="D88" s="109" t="s">
        <v>31</v>
      </c>
      <c r="E88" s="166">
        <f>25.7*2/1000</f>
        <v>5.1400000000000001E-2</v>
      </c>
      <c r="F88" s="174"/>
      <c r="G88" s="359">
        <v>0</v>
      </c>
      <c r="H88" s="355"/>
      <c r="I88" s="114">
        <f>E88*G88</f>
        <v>0</v>
      </c>
    </row>
    <row r="89" spans="1:12" ht="28.5" customHeight="1" x14ac:dyDescent="0.25">
      <c r="A89" s="171" t="s">
        <v>27</v>
      </c>
      <c r="B89" s="159" t="s">
        <v>11</v>
      </c>
      <c r="C89" s="155" t="s">
        <v>145</v>
      </c>
      <c r="D89" s="157" t="s">
        <v>24</v>
      </c>
      <c r="E89" s="158">
        <v>2</v>
      </c>
      <c r="F89" s="163">
        <v>0</v>
      </c>
      <c r="G89" s="358"/>
      <c r="H89" s="356">
        <f>E89*F89</f>
        <v>0</v>
      </c>
      <c r="I89" s="129"/>
    </row>
    <row r="90" spans="1:12" ht="42.75" customHeight="1" x14ac:dyDescent="0.25">
      <c r="A90" s="173" t="s">
        <v>36</v>
      </c>
      <c r="B90" s="169" t="s">
        <v>7</v>
      </c>
      <c r="C90" s="165" t="s">
        <v>148</v>
      </c>
      <c r="D90" s="109" t="s">
        <v>19</v>
      </c>
      <c r="E90" s="166">
        <v>5.77</v>
      </c>
      <c r="F90" s="174"/>
      <c r="G90" s="359">
        <v>0</v>
      </c>
      <c r="H90" s="355"/>
      <c r="I90" s="114">
        <f>E90*G90</f>
        <v>0</v>
      </c>
    </row>
    <row r="91" spans="1:12" ht="38.25" x14ac:dyDescent="0.25">
      <c r="A91" s="171" t="s">
        <v>10</v>
      </c>
      <c r="B91" s="159" t="s">
        <v>11</v>
      </c>
      <c r="C91" s="155" t="s">
        <v>144</v>
      </c>
      <c r="D91" s="157" t="s">
        <v>19</v>
      </c>
      <c r="E91" s="158">
        <v>5.77</v>
      </c>
      <c r="F91" s="163">
        <v>0</v>
      </c>
      <c r="G91" s="358"/>
      <c r="H91" s="356">
        <f>E91*F91</f>
        <v>0</v>
      </c>
      <c r="I91" s="129"/>
    </row>
    <row r="92" spans="1:12" x14ac:dyDescent="0.25">
      <c r="A92" s="171" t="s">
        <v>41</v>
      </c>
      <c r="B92" s="159" t="s">
        <v>11</v>
      </c>
      <c r="C92" s="155" t="s">
        <v>143</v>
      </c>
      <c r="D92" s="157" t="s">
        <v>24</v>
      </c>
      <c r="E92" s="158">
        <v>15</v>
      </c>
      <c r="F92" s="163">
        <v>0</v>
      </c>
      <c r="G92" s="358"/>
      <c r="H92" s="356">
        <f>E92*F92</f>
        <v>0</v>
      </c>
      <c r="I92" s="129"/>
    </row>
    <row r="93" spans="1:12" ht="39" customHeight="1" x14ac:dyDescent="0.25">
      <c r="A93" s="173" t="s">
        <v>37</v>
      </c>
      <c r="B93" s="169" t="s">
        <v>7</v>
      </c>
      <c r="C93" s="165" t="s">
        <v>117</v>
      </c>
      <c r="D93" s="109" t="s">
        <v>24</v>
      </c>
      <c r="E93" s="166">
        <v>10</v>
      </c>
      <c r="F93" s="174"/>
      <c r="G93" s="359">
        <v>0</v>
      </c>
      <c r="H93" s="355"/>
      <c r="I93" s="114">
        <f>E93*G93</f>
        <v>0</v>
      </c>
    </row>
    <row r="94" spans="1:12" ht="25.5" x14ac:dyDescent="0.25">
      <c r="A94" s="171" t="s">
        <v>13</v>
      </c>
      <c r="B94" s="159" t="s">
        <v>11</v>
      </c>
      <c r="C94" s="155" t="s">
        <v>147</v>
      </c>
      <c r="D94" s="157" t="s">
        <v>24</v>
      </c>
      <c r="E94" s="158">
        <v>10</v>
      </c>
      <c r="F94" s="163">
        <v>0</v>
      </c>
      <c r="G94" s="358"/>
      <c r="H94" s="356">
        <f>E94*F94</f>
        <v>0</v>
      </c>
      <c r="I94" s="129"/>
    </row>
    <row r="95" spans="1:12" ht="53.25" customHeight="1" x14ac:dyDescent="0.25">
      <c r="A95" s="106" t="s">
        <v>38</v>
      </c>
      <c r="B95" s="107" t="s">
        <v>7</v>
      </c>
      <c r="C95" s="165" t="s">
        <v>135</v>
      </c>
      <c r="D95" s="109" t="s">
        <v>8</v>
      </c>
      <c r="E95" s="166">
        <v>4.33</v>
      </c>
      <c r="F95" s="111"/>
      <c r="G95" s="359">
        <v>0</v>
      </c>
      <c r="H95" s="113"/>
      <c r="I95" s="114">
        <f>E95*G95</f>
        <v>0</v>
      </c>
      <c r="K95" s="318">
        <f>K96+K97+K98+K99+K100+K101</f>
        <v>4.33</v>
      </c>
      <c r="L95" s="318">
        <v>0</v>
      </c>
    </row>
    <row r="96" spans="1:12" x14ac:dyDescent="0.25">
      <c r="A96" s="125" t="s">
        <v>42</v>
      </c>
      <c r="B96" s="126" t="s">
        <v>11</v>
      </c>
      <c r="C96" s="155" t="s">
        <v>65</v>
      </c>
      <c r="D96" s="157" t="s">
        <v>24</v>
      </c>
      <c r="E96" s="158">
        <v>3</v>
      </c>
      <c r="F96" s="130">
        <v>0</v>
      </c>
      <c r="G96" s="359"/>
      <c r="H96" s="130">
        <f t="shared" ref="H96:H103" si="7">E96*F96</f>
        <v>0</v>
      </c>
      <c r="I96" s="114"/>
      <c r="K96" s="318">
        <f>E96*0.18</f>
        <v>0.54</v>
      </c>
    </row>
    <row r="97" spans="1:15" ht="25.5" x14ac:dyDescent="0.25">
      <c r="A97" s="125" t="s">
        <v>43</v>
      </c>
      <c r="B97" s="159" t="s">
        <v>11</v>
      </c>
      <c r="C97" s="160" t="s">
        <v>68</v>
      </c>
      <c r="D97" s="157" t="s">
        <v>24</v>
      </c>
      <c r="E97" s="158">
        <f>3</f>
        <v>3</v>
      </c>
      <c r="F97" s="130">
        <v>0</v>
      </c>
      <c r="G97" s="359"/>
      <c r="H97" s="130">
        <f t="shared" si="7"/>
        <v>0</v>
      </c>
      <c r="I97" s="114"/>
      <c r="K97" s="318">
        <v>0.16</v>
      </c>
    </row>
    <row r="98" spans="1:15" ht="25.5" x14ac:dyDescent="0.25">
      <c r="A98" s="125" t="s">
        <v>153</v>
      </c>
      <c r="B98" s="159" t="s">
        <v>11</v>
      </c>
      <c r="C98" s="160" t="s">
        <v>136</v>
      </c>
      <c r="D98" s="157" t="s">
        <v>24</v>
      </c>
      <c r="E98" s="158">
        <v>3</v>
      </c>
      <c r="F98" s="130">
        <v>0</v>
      </c>
      <c r="G98" s="359"/>
      <c r="H98" s="130">
        <f t="shared" si="7"/>
        <v>0</v>
      </c>
      <c r="I98" s="114"/>
      <c r="K98" s="318">
        <f>0.24*E98</f>
        <v>0.72</v>
      </c>
    </row>
    <row r="99" spans="1:15" x14ac:dyDescent="0.25">
      <c r="A99" s="125" t="s">
        <v>154</v>
      </c>
      <c r="B99" s="159" t="s">
        <v>11</v>
      </c>
      <c r="C99" s="160" t="s">
        <v>70</v>
      </c>
      <c r="D99" s="157" t="s">
        <v>24</v>
      </c>
      <c r="E99" s="158">
        <v>3</v>
      </c>
      <c r="F99" s="130">
        <v>0</v>
      </c>
      <c r="G99" s="359"/>
      <c r="H99" s="130">
        <f t="shared" si="7"/>
        <v>0</v>
      </c>
      <c r="I99" s="114"/>
      <c r="K99" s="318">
        <f>E99*0.1</f>
        <v>0.30000000000000004</v>
      </c>
    </row>
    <row r="100" spans="1:15" x14ac:dyDescent="0.25">
      <c r="A100" s="125" t="s">
        <v>155</v>
      </c>
      <c r="B100" s="126" t="s">
        <v>11</v>
      </c>
      <c r="C100" s="155" t="s">
        <v>72</v>
      </c>
      <c r="D100" s="157" t="s">
        <v>24</v>
      </c>
      <c r="E100" s="158">
        <v>3</v>
      </c>
      <c r="F100" s="130">
        <v>0</v>
      </c>
      <c r="G100" s="359"/>
      <c r="H100" s="130">
        <f t="shared" si="7"/>
        <v>0</v>
      </c>
      <c r="I100" s="114"/>
      <c r="K100" s="318">
        <f>0.02*3</f>
        <v>0.06</v>
      </c>
    </row>
    <row r="101" spans="1:15" x14ac:dyDescent="0.25">
      <c r="A101" s="125" t="s">
        <v>156</v>
      </c>
      <c r="B101" s="126" t="s">
        <v>11</v>
      </c>
      <c r="C101" s="155" t="s">
        <v>106</v>
      </c>
      <c r="D101" s="157" t="s">
        <v>24</v>
      </c>
      <c r="E101" s="158">
        <v>3</v>
      </c>
      <c r="F101" s="130">
        <v>0</v>
      </c>
      <c r="G101" s="129"/>
      <c r="H101" s="130">
        <f t="shared" si="7"/>
        <v>0</v>
      </c>
      <c r="I101" s="129"/>
      <c r="K101" s="318">
        <f>0.85*E101</f>
        <v>2.5499999999999998</v>
      </c>
    </row>
    <row r="102" spans="1:15" x14ac:dyDescent="0.25">
      <c r="A102" s="125" t="s">
        <v>157</v>
      </c>
      <c r="B102" s="126" t="s">
        <v>11</v>
      </c>
      <c r="C102" s="160" t="s">
        <v>92</v>
      </c>
      <c r="D102" s="161" t="s">
        <v>24</v>
      </c>
      <c r="E102" s="162">
        <v>3</v>
      </c>
      <c r="F102" s="163">
        <v>0</v>
      </c>
      <c r="G102" s="360"/>
      <c r="H102" s="356">
        <f t="shared" si="7"/>
        <v>0</v>
      </c>
      <c r="I102" s="164"/>
    </row>
    <row r="103" spans="1:15" x14ac:dyDescent="0.25">
      <c r="A103" s="125" t="s">
        <v>158</v>
      </c>
      <c r="B103" s="126" t="s">
        <v>11</v>
      </c>
      <c r="C103" s="160" t="s">
        <v>105</v>
      </c>
      <c r="D103" s="161" t="s">
        <v>24</v>
      </c>
      <c r="E103" s="162">
        <v>6</v>
      </c>
      <c r="F103" s="163">
        <v>0</v>
      </c>
      <c r="G103" s="360"/>
      <c r="H103" s="356">
        <f t="shared" si="7"/>
        <v>0</v>
      </c>
      <c r="I103" s="164"/>
    </row>
    <row r="104" spans="1:15" x14ac:dyDescent="0.25">
      <c r="A104" s="173" t="s">
        <v>40</v>
      </c>
      <c r="B104" s="169" t="s">
        <v>7</v>
      </c>
      <c r="C104" s="170" t="s">
        <v>83</v>
      </c>
      <c r="D104" s="185" t="s">
        <v>24</v>
      </c>
      <c r="E104" s="191">
        <f>E105+E106+E107</f>
        <v>15</v>
      </c>
      <c r="F104" s="163"/>
      <c r="G104" s="164">
        <v>0</v>
      </c>
      <c r="H104" s="355"/>
      <c r="I104" s="164">
        <f>E104*G104</f>
        <v>0</v>
      </c>
    </row>
    <row r="105" spans="1:15" ht="25.5" x14ac:dyDescent="0.25">
      <c r="A105" s="125" t="s">
        <v>159</v>
      </c>
      <c r="B105" s="126" t="s">
        <v>11</v>
      </c>
      <c r="C105" s="155" t="s">
        <v>84</v>
      </c>
      <c r="D105" s="157" t="s">
        <v>24</v>
      </c>
      <c r="E105" s="158">
        <v>11</v>
      </c>
      <c r="F105" s="128">
        <v>0</v>
      </c>
      <c r="G105" s="129"/>
      <c r="H105" s="130">
        <f>E105*F105</f>
        <v>0</v>
      </c>
      <c r="I105" s="129"/>
    </row>
    <row r="106" spans="1:15" x14ac:dyDescent="0.25">
      <c r="A106" s="125" t="s">
        <v>160</v>
      </c>
      <c r="B106" s="126" t="s">
        <v>11</v>
      </c>
      <c r="C106" s="155" t="s">
        <v>104</v>
      </c>
      <c r="D106" s="157" t="s">
        <v>24</v>
      </c>
      <c r="E106" s="158">
        <f>1</f>
        <v>1</v>
      </c>
      <c r="F106" s="128">
        <v>0</v>
      </c>
      <c r="G106" s="129"/>
      <c r="H106" s="130">
        <f>E106*F106</f>
        <v>0</v>
      </c>
      <c r="I106" s="129"/>
    </row>
    <row r="107" spans="1:15" ht="25.5" x14ac:dyDescent="0.25">
      <c r="A107" s="125" t="s">
        <v>161</v>
      </c>
      <c r="B107" s="126" t="s">
        <v>11</v>
      </c>
      <c r="C107" s="127" t="s">
        <v>103</v>
      </c>
      <c r="D107" s="167" t="s">
        <v>24</v>
      </c>
      <c r="E107" s="168">
        <v>3</v>
      </c>
      <c r="F107" s="128">
        <v>0</v>
      </c>
      <c r="G107" s="129"/>
      <c r="H107" s="130">
        <f>E107*F107</f>
        <v>0</v>
      </c>
      <c r="I107" s="129"/>
    </row>
    <row r="108" spans="1:15" s="362" customFormat="1" ht="25.5" x14ac:dyDescent="0.25">
      <c r="A108" s="192" t="s">
        <v>46</v>
      </c>
      <c r="B108" s="192" t="s">
        <v>7</v>
      </c>
      <c r="C108" s="165" t="s">
        <v>118</v>
      </c>
      <c r="D108" s="109" t="s">
        <v>19</v>
      </c>
      <c r="E108" s="193">
        <f>E49+E85</f>
        <v>10.62</v>
      </c>
      <c r="F108" s="355"/>
      <c r="G108" s="164">
        <v>0</v>
      </c>
      <c r="H108" s="361"/>
      <c r="I108" s="195">
        <f>E108*G108</f>
        <v>0</v>
      </c>
      <c r="J108" s="386"/>
      <c r="K108" s="396"/>
      <c r="L108" s="396"/>
      <c r="M108" s="396"/>
      <c r="N108" s="396"/>
      <c r="O108" s="396"/>
    </row>
    <row r="109" spans="1:15" s="362" customFormat="1" ht="25.5" x14ac:dyDescent="0.25">
      <c r="A109" s="192" t="s">
        <v>47</v>
      </c>
      <c r="B109" s="192" t="s">
        <v>7</v>
      </c>
      <c r="C109" s="165" t="s">
        <v>119</v>
      </c>
      <c r="D109" s="109" t="s">
        <v>19</v>
      </c>
      <c r="E109" s="193">
        <f>E39+E42+E90</f>
        <v>66.87</v>
      </c>
      <c r="F109" s="113"/>
      <c r="G109" s="114">
        <v>0</v>
      </c>
      <c r="H109" s="363"/>
      <c r="I109" s="112">
        <f>E109*G109</f>
        <v>0</v>
      </c>
      <c r="J109" s="386"/>
      <c r="K109" s="396"/>
      <c r="L109" s="396"/>
      <c r="M109" s="396"/>
      <c r="N109" s="396"/>
      <c r="O109" s="396"/>
    </row>
    <row r="110" spans="1:15" s="362" customFormat="1" ht="25.5" x14ac:dyDescent="0.25">
      <c r="A110" s="192" t="s">
        <v>48</v>
      </c>
      <c r="B110" s="192" t="s">
        <v>7</v>
      </c>
      <c r="C110" s="165" t="s">
        <v>150</v>
      </c>
      <c r="D110" s="109" t="s">
        <v>19</v>
      </c>
      <c r="E110" s="193">
        <f>E33</f>
        <v>146.44999999999999</v>
      </c>
      <c r="F110" s="113"/>
      <c r="G110" s="114">
        <v>0</v>
      </c>
      <c r="H110" s="363"/>
      <c r="I110" s="112">
        <f t="shared" ref="I110:I111" si="8">E110*G110</f>
        <v>0</v>
      </c>
      <c r="J110" s="386"/>
      <c r="K110" s="396"/>
      <c r="L110" s="396"/>
      <c r="M110" s="396"/>
      <c r="N110" s="396"/>
      <c r="O110" s="396"/>
    </row>
    <row r="111" spans="1:15" s="362" customFormat="1" ht="25.5" x14ac:dyDescent="0.25">
      <c r="A111" s="192" t="s">
        <v>49</v>
      </c>
      <c r="B111" s="192" t="s">
        <v>7</v>
      </c>
      <c r="C111" s="165" t="s">
        <v>151</v>
      </c>
      <c r="D111" s="109" t="s">
        <v>19</v>
      </c>
      <c r="E111" s="193">
        <f>E36</f>
        <v>3.75</v>
      </c>
      <c r="F111" s="113"/>
      <c r="G111" s="114">
        <v>0</v>
      </c>
      <c r="H111" s="363"/>
      <c r="I111" s="112">
        <f t="shared" si="8"/>
        <v>0</v>
      </c>
      <c r="J111" s="386"/>
      <c r="K111" s="396"/>
      <c r="L111" s="396"/>
      <c r="M111" s="396"/>
      <c r="N111" s="396"/>
      <c r="O111" s="396"/>
    </row>
    <row r="112" spans="1:15" s="362" customFormat="1" ht="25.5" x14ac:dyDescent="0.25">
      <c r="A112" s="192" t="s">
        <v>162</v>
      </c>
      <c r="B112" s="192" t="s">
        <v>7</v>
      </c>
      <c r="C112" s="165" t="s">
        <v>85</v>
      </c>
      <c r="D112" s="109" t="s">
        <v>19</v>
      </c>
      <c r="E112" s="193">
        <f>E108+E109</f>
        <v>77.490000000000009</v>
      </c>
      <c r="F112" s="113"/>
      <c r="G112" s="114">
        <v>0</v>
      </c>
      <c r="H112" s="363"/>
      <c r="I112" s="112">
        <f>E112*G112</f>
        <v>0</v>
      </c>
      <c r="J112" s="386"/>
      <c r="K112" s="396"/>
      <c r="L112" s="396"/>
      <c r="M112" s="396"/>
      <c r="N112" s="396"/>
      <c r="O112" s="396"/>
    </row>
    <row r="113" spans="1:15" s="362" customFormat="1" x14ac:dyDescent="0.25">
      <c r="A113" s="192"/>
      <c r="B113" s="192"/>
      <c r="C113" s="364" t="s">
        <v>16</v>
      </c>
      <c r="D113" s="109"/>
      <c r="E113" s="109"/>
      <c r="F113" s="365"/>
      <c r="G113" s="366"/>
      <c r="H113" s="367">
        <f>SUM(H59:H112)</f>
        <v>0</v>
      </c>
      <c r="I113" s="367">
        <f>SUM(I59:I112)</f>
        <v>0</v>
      </c>
      <c r="J113" s="386"/>
      <c r="K113" s="396"/>
      <c r="L113" s="396"/>
      <c r="M113" s="396"/>
      <c r="N113" s="396"/>
      <c r="O113" s="396"/>
    </row>
    <row r="114" spans="1:15" s="362" customFormat="1" thickBot="1" x14ac:dyDescent="0.3">
      <c r="A114" s="210"/>
      <c r="B114" s="211"/>
      <c r="C114" s="212" t="s">
        <v>17</v>
      </c>
      <c r="D114" s="213"/>
      <c r="E114" s="214"/>
      <c r="F114" s="221"/>
      <c r="G114" s="368"/>
      <c r="H114" s="369"/>
      <c r="I114" s="218">
        <f>H113+I113</f>
        <v>0</v>
      </c>
      <c r="J114" s="386"/>
      <c r="K114" s="396"/>
      <c r="L114" s="396"/>
      <c r="M114" s="396"/>
      <c r="N114" s="396"/>
      <c r="O114" s="396"/>
    </row>
    <row r="115" spans="1:15" s="378" customFormat="1" ht="21" thickBot="1" x14ac:dyDescent="0.3">
      <c r="A115" s="370"/>
      <c r="B115" s="371"/>
      <c r="C115" s="372" t="s">
        <v>152</v>
      </c>
      <c r="D115" s="373"/>
      <c r="E115" s="374"/>
      <c r="F115" s="375"/>
      <c r="G115" s="376"/>
      <c r="H115" s="377"/>
      <c r="I115" s="377">
        <f>I31+I47+I57+I114</f>
        <v>0</v>
      </c>
      <c r="J115" s="401"/>
      <c r="K115" s="397"/>
      <c r="L115" s="397"/>
      <c r="M115" s="397"/>
      <c r="N115" s="397"/>
      <c r="O115" s="397"/>
    </row>
    <row r="116" spans="1:15" ht="15.75" thickBot="1" x14ac:dyDescent="0.3">
      <c r="A116" s="379"/>
      <c r="B116" s="380"/>
      <c r="C116" s="381" t="s">
        <v>86</v>
      </c>
      <c r="D116" s="382"/>
      <c r="E116" s="382"/>
      <c r="F116" s="383"/>
      <c r="G116" s="383"/>
      <c r="H116" s="383"/>
      <c r="I116" s="227">
        <f>I115/1.2*20%</f>
        <v>0</v>
      </c>
    </row>
    <row r="117" spans="1:15" s="386" customFormat="1" ht="15.75" x14ac:dyDescent="0.25">
      <c r="A117" s="384"/>
      <c r="B117" s="385"/>
      <c r="F117" s="321"/>
      <c r="G117" s="321"/>
      <c r="H117" s="387">
        <f>H113+H56+H46+H30</f>
        <v>0</v>
      </c>
      <c r="I117" s="387">
        <f>I113+I56+I46+I30</f>
        <v>0</v>
      </c>
      <c r="K117" s="396"/>
      <c r="L117" s="396"/>
      <c r="M117" s="396"/>
      <c r="N117" s="396"/>
      <c r="O117" s="396"/>
    </row>
    <row r="119" spans="1:15" x14ac:dyDescent="0.25">
      <c r="E119" s="323"/>
    </row>
  </sheetData>
  <mergeCells count="20">
    <mergeCell ref="C58:F58"/>
    <mergeCell ref="F15:G15"/>
    <mergeCell ref="H15:I15"/>
    <mergeCell ref="A32:I32"/>
    <mergeCell ref="A48:I48"/>
    <mergeCell ref="C56:E56"/>
    <mergeCell ref="C57:E57"/>
    <mergeCell ref="A15:A16"/>
    <mergeCell ref="B15:B16"/>
    <mergeCell ref="C15:C16"/>
    <mergeCell ref="D15:D16"/>
    <mergeCell ref="E15:E16"/>
    <mergeCell ref="A12:B12"/>
    <mergeCell ref="C12:I12"/>
    <mergeCell ref="G1:I1"/>
    <mergeCell ref="F2:I2"/>
    <mergeCell ref="C5:H5"/>
    <mergeCell ref="C6:H6"/>
    <mergeCell ref="A9:I10"/>
    <mergeCell ref="A2:C2"/>
  </mergeCells>
  <phoneticPr fontId="22" type="noConversion"/>
  <pageMargins left="0.70866141732283472" right="0.19685039370078741" top="0.59055118110236227" bottom="0.74803149606299213" header="0" footer="0.31496062992125984"/>
  <pageSetup paperSize="9" scale="67" orientation="portrait" r:id="rId1"/>
  <headerFooter>
    <oddFooter>&amp;LГенподрядчик_____________&amp;C&amp;P&amp;RСубподрядчик________________</oddFooter>
  </headerFooter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49F6-5F1F-4E6D-BFCB-EDFC17638F59}">
  <dimension ref="A1:P87"/>
  <sheetViews>
    <sheetView tabSelected="1" zoomScaleNormal="100" workbookViewId="0">
      <selection activeCell="P40" sqref="P40"/>
    </sheetView>
  </sheetViews>
  <sheetFormatPr defaultRowHeight="15" x14ac:dyDescent="0.25"/>
  <cols>
    <col min="1" max="1" width="6" style="38" customWidth="1"/>
    <col min="2" max="2" width="15.28515625" style="39" customWidth="1"/>
    <col min="3" max="3" width="35.140625" style="1" customWidth="1"/>
    <col min="4" max="4" width="7" style="1" customWidth="1"/>
    <col min="5" max="5" width="9.140625" style="1"/>
    <col min="6" max="9" width="16.7109375" style="2" customWidth="1"/>
    <col min="10" max="10" width="9.140625" style="31"/>
    <col min="11" max="11" width="11.42578125" style="40" bestFit="1" customWidth="1"/>
    <col min="12" max="16" width="9.140625" style="40"/>
    <col min="17" max="251" width="9.140625" style="1"/>
    <col min="252" max="252" width="6" style="1" customWidth="1"/>
    <col min="253" max="253" width="35.85546875" style="1" customWidth="1"/>
    <col min="254" max="254" width="5.140625" style="1" customWidth="1"/>
    <col min="255" max="260" width="9.140625" style="1"/>
    <col min="261" max="261" width="13.7109375" style="1" customWidth="1"/>
    <col min="262" max="265" width="16.7109375" style="1" customWidth="1"/>
    <col min="266" max="507" width="9.140625" style="1"/>
    <col min="508" max="508" width="6" style="1" customWidth="1"/>
    <col min="509" max="509" width="35.85546875" style="1" customWidth="1"/>
    <col min="510" max="510" width="5.140625" style="1" customWidth="1"/>
    <col min="511" max="516" width="9.140625" style="1"/>
    <col min="517" max="517" width="13.7109375" style="1" customWidth="1"/>
    <col min="518" max="521" width="16.7109375" style="1" customWidth="1"/>
    <col min="522" max="763" width="9.140625" style="1"/>
    <col min="764" max="764" width="6" style="1" customWidth="1"/>
    <col min="765" max="765" width="35.85546875" style="1" customWidth="1"/>
    <col min="766" max="766" width="5.140625" style="1" customWidth="1"/>
    <col min="767" max="772" width="9.140625" style="1"/>
    <col min="773" max="773" width="13.7109375" style="1" customWidth="1"/>
    <col min="774" max="777" width="16.7109375" style="1" customWidth="1"/>
    <col min="778" max="1019" width="9.140625" style="1"/>
    <col min="1020" max="1020" width="6" style="1" customWidth="1"/>
    <col min="1021" max="1021" width="35.85546875" style="1" customWidth="1"/>
    <col min="1022" max="1022" width="5.140625" style="1" customWidth="1"/>
    <col min="1023" max="1028" width="9.140625" style="1"/>
    <col min="1029" max="1029" width="13.7109375" style="1" customWidth="1"/>
    <col min="1030" max="1033" width="16.7109375" style="1" customWidth="1"/>
    <col min="1034" max="1275" width="9.140625" style="1"/>
    <col min="1276" max="1276" width="6" style="1" customWidth="1"/>
    <col min="1277" max="1277" width="35.85546875" style="1" customWidth="1"/>
    <col min="1278" max="1278" width="5.140625" style="1" customWidth="1"/>
    <col min="1279" max="1284" width="9.140625" style="1"/>
    <col min="1285" max="1285" width="13.7109375" style="1" customWidth="1"/>
    <col min="1286" max="1289" width="16.7109375" style="1" customWidth="1"/>
    <col min="1290" max="1531" width="9.140625" style="1"/>
    <col min="1532" max="1532" width="6" style="1" customWidth="1"/>
    <col min="1533" max="1533" width="35.85546875" style="1" customWidth="1"/>
    <col min="1534" max="1534" width="5.140625" style="1" customWidth="1"/>
    <col min="1535" max="1540" width="9.140625" style="1"/>
    <col min="1541" max="1541" width="13.7109375" style="1" customWidth="1"/>
    <col min="1542" max="1545" width="16.7109375" style="1" customWidth="1"/>
    <col min="1546" max="1787" width="9.140625" style="1"/>
    <col min="1788" max="1788" width="6" style="1" customWidth="1"/>
    <col min="1789" max="1789" width="35.85546875" style="1" customWidth="1"/>
    <col min="1790" max="1790" width="5.140625" style="1" customWidth="1"/>
    <col min="1791" max="1796" width="9.140625" style="1"/>
    <col min="1797" max="1797" width="13.7109375" style="1" customWidth="1"/>
    <col min="1798" max="1801" width="16.7109375" style="1" customWidth="1"/>
    <col min="1802" max="2043" width="9.140625" style="1"/>
    <col min="2044" max="2044" width="6" style="1" customWidth="1"/>
    <col min="2045" max="2045" width="35.85546875" style="1" customWidth="1"/>
    <col min="2046" max="2046" width="5.140625" style="1" customWidth="1"/>
    <col min="2047" max="2052" width="9.140625" style="1"/>
    <col min="2053" max="2053" width="13.7109375" style="1" customWidth="1"/>
    <col min="2054" max="2057" width="16.7109375" style="1" customWidth="1"/>
    <col min="2058" max="2299" width="9.140625" style="1"/>
    <col min="2300" max="2300" width="6" style="1" customWidth="1"/>
    <col min="2301" max="2301" width="35.85546875" style="1" customWidth="1"/>
    <col min="2302" max="2302" width="5.140625" style="1" customWidth="1"/>
    <col min="2303" max="2308" width="9.140625" style="1"/>
    <col min="2309" max="2309" width="13.7109375" style="1" customWidth="1"/>
    <col min="2310" max="2313" width="16.7109375" style="1" customWidth="1"/>
    <col min="2314" max="2555" width="9.140625" style="1"/>
    <col min="2556" max="2556" width="6" style="1" customWidth="1"/>
    <col min="2557" max="2557" width="35.85546875" style="1" customWidth="1"/>
    <col min="2558" max="2558" width="5.140625" style="1" customWidth="1"/>
    <col min="2559" max="2564" width="9.140625" style="1"/>
    <col min="2565" max="2565" width="13.7109375" style="1" customWidth="1"/>
    <col min="2566" max="2569" width="16.7109375" style="1" customWidth="1"/>
    <col min="2570" max="2811" width="9.140625" style="1"/>
    <col min="2812" max="2812" width="6" style="1" customWidth="1"/>
    <col min="2813" max="2813" width="35.85546875" style="1" customWidth="1"/>
    <col min="2814" max="2814" width="5.140625" style="1" customWidth="1"/>
    <col min="2815" max="2820" width="9.140625" style="1"/>
    <col min="2821" max="2821" width="13.7109375" style="1" customWidth="1"/>
    <col min="2822" max="2825" width="16.7109375" style="1" customWidth="1"/>
    <col min="2826" max="3067" width="9.140625" style="1"/>
    <col min="3068" max="3068" width="6" style="1" customWidth="1"/>
    <col min="3069" max="3069" width="35.85546875" style="1" customWidth="1"/>
    <col min="3070" max="3070" width="5.140625" style="1" customWidth="1"/>
    <col min="3071" max="3076" width="9.140625" style="1"/>
    <col min="3077" max="3077" width="13.7109375" style="1" customWidth="1"/>
    <col min="3078" max="3081" width="16.7109375" style="1" customWidth="1"/>
    <col min="3082" max="3323" width="9.140625" style="1"/>
    <col min="3324" max="3324" width="6" style="1" customWidth="1"/>
    <col min="3325" max="3325" width="35.85546875" style="1" customWidth="1"/>
    <col min="3326" max="3326" width="5.140625" style="1" customWidth="1"/>
    <col min="3327" max="3332" width="9.140625" style="1"/>
    <col min="3333" max="3333" width="13.7109375" style="1" customWidth="1"/>
    <col min="3334" max="3337" width="16.7109375" style="1" customWidth="1"/>
    <col min="3338" max="3579" width="9.140625" style="1"/>
    <col min="3580" max="3580" width="6" style="1" customWidth="1"/>
    <col min="3581" max="3581" width="35.85546875" style="1" customWidth="1"/>
    <col min="3582" max="3582" width="5.140625" style="1" customWidth="1"/>
    <col min="3583" max="3588" width="9.140625" style="1"/>
    <col min="3589" max="3589" width="13.7109375" style="1" customWidth="1"/>
    <col min="3590" max="3593" width="16.7109375" style="1" customWidth="1"/>
    <col min="3594" max="3835" width="9.140625" style="1"/>
    <col min="3836" max="3836" width="6" style="1" customWidth="1"/>
    <col min="3837" max="3837" width="35.85546875" style="1" customWidth="1"/>
    <col min="3838" max="3838" width="5.140625" style="1" customWidth="1"/>
    <col min="3839" max="3844" width="9.140625" style="1"/>
    <col min="3845" max="3845" width="13.7109375" style="1" customWidth="1"/>
    <col min="3846" max="3849" width="16.7109375" style="1" customWidth="1"/>
    <col min="3850" max="4091" width="9.140625" style="1"/>
    <col min="4092" max="4092" width="6" style="1" customWidth="1"/>
    <col min="4093" max="4093" width="35.85546875" style="1" customWidth="1"/>
    <col min="4094" max="4094" width="5.140625" style="1" customWidth="1"/>
    <col min="4095" max="4100" width="9.140625" style="1"/>
    <col min="4101" max="4101" width="13.7109375" style="1" customWidth="1"/>
    <col min="4102" max="4105" width="16.7109375" style="1" customWidth="1"/>
    <col min="4106" max="4347" width="9.140625" style="1"/>
    <col min="4348" max="4348" width="6" style="1" customWidth="1"/>
    <col min="4349" max="4349" width="35.85546875" style="1" customWidth="1"/>
    <col min="4350" max="4350" width="5.140625" style="1" customWidth="1"/>
    <col min="4351" max="4356" width="9.140625" style="1"/>
    <col min="4357" max="4357" width="13.7109375" style="1" customWidth="1"/>
    <col min="4358" max="4361" width="16.7109375" style="1" customWidth="1"/>
    <col min="4362" max="4603" width="9.140625" style="1"/>
    <col min="4604" max="4604" width="6" style="1" customWidth="1"/>
    <col min="4605" max="4605" width="35.85546875" style="1" customWidth="1"/>
    <col min="4606" max="4606" width="5.140625" style="1" customWidth="1"/>
    <col min="4607" max="4612" width="9.140625" style="1"/>
    <col min="4613" max="4613" width="13.7109375" style="1" customWidth="1"/>
    <col min="4614" max="4617" width="16.7109375" style="1" customWidth="1"/>
    <col min="4618" max="4859" width="9.140625" style="1"/>
    <col min="4860" max="4860" width="6" style="1" customWidth="1"/>
    <col min="4861" max="4861" width="35.85546875" style="1" customWidth="1"/>
    <col min="4862" max="4862" width="5.140625" style="1" customWidth="1"/>
    <col min="4863" max="4868" width="9.140625" style="1"/>
    <col min="4869" max="4869" width="13.7109375" style="1" customWidth="1"/>
    <col min="4870" max="4873" width="16.7109375" style="1" customWidth="1"/>
    <col min="4874" max="5115" width="9.140625" style="1"/>
    <col min="5116" max="5116" width="6" style="1" customWidth="1"/>
    <col min="5117" max="5117" width="35.85546875" style="1" customWidth="1"/>
    <col min="5118" max="5118" width="5.140625" style="1" customWidth="1"/>
    <col min="5119" max="5124" width="9.140625" style="1"/>
    <col min="5125" max="5125" width="13.7109375" style="1" customWidth="1"/>
    <col min="5126" max="5129" width="16.7109375" style="1" customWidth="1"/>
    <col min="5130" max="5371" width="9.140625" style="1"/>
    <col min="5372" max="5372" width="6" style="1" customWidth="1"/>
    <col min="5373" max="5373" width="35.85546875" style="1" customWidth="1"/>
    <col min="5374" max="5374" width="5.140625" style="1" customWidth="1"/>
    <col min="5375" max="5380" width="9.140625" style="1"/>
    <col min="5381" max="5381" width="13.7109375" style="1" customWidth="1"/>
    <col min="5382" max="5385" width="16.7109375" style="1" customWidth="1"/>
    <col min="5386" max="5627" width="9.140625" style="1"/>
    <col min="5628" max="5628" width="6" style="1" customWidth="1"/>
    <col min="5629" max="5629" width="35.85546875" style="1" customWidth="1"/>
    <col min="5630" max="5630" width="5.140625" style="1" customWidth="1"/>
    <col min="5631" max="5636" width="9.140625" style="1"/>
    <col min="5637" max="5637" width="13.7109375" style="1" customWidth="1"/>
    <col min="5638" max="5641" width="16.7109375" style="1" customWidth="1"/>
    <col min="5642" max="5883" width="9.140625" style="1"/>
    <col min="5884" max="5884" width="6" style="1" customWidth="1"/>
    <col min="5885" max="5885" width="35.85546875" style="1" customWidth="1"/>
    <col min="5886" max="5886" width="5.140625" style="1" customWidth="1"/>
    <col min="5887" max="5892" width="9.140625" style="1"/>
    <col min="5893" max="5893" width="13.7109375" style="1" customWidth="1"/>
    <col min="5894" max="5897" width="16.7109375" style="1" customWidth="1"/>
    <col min="5898" max="6139" width="9.140625" style="1"/>
    <col min="6140" max="6140" width="6" style="1" customWidth="1"/>
    <col min="6141" max="6141" width="35.85546875" style="1" customWidth="1"/>
    <col min="6142" max="6142" width="5.140625" style="1" customWidth="1"/>
    <col min="6143" max="6148" width="9.140625" style="1"/>
    <col min="6149" max="6149" width="13.7109375" style="1" customWidth="1"/>
    <col min="6150" max="6153" width="16.7109375" style="1" customWidth="1"/>
    <col min="6154" max="6395" width="9.140625" style="1"/>
    <col min="6396" max="6396" width="6" style="1" customWidth="1"/>
    <col min="6397" max="6397" width="35.85546875" style="1" customWidth="1"/>
    <col min="6398" max="6398" width="5.140625" style="1" customWidth="1"/>
    <col min="6399" max="6404" width="9.140625" style="1"/>
    <col min="6405" max="6405" width="13.7109375" style="1" customWidth="1"/>
    <col min="6406" max="6409" width="16.7109375" style="1" customWidth="1"/>
    <col min="6410" max="6651" width="9.140625" style="1"/>
    <col min="6652" max="6652" width="6" style="1" customWidth="1"/>
    <col min="6653" max="6653" width="35.85546875" style="1" customWidth="1"/>
    <col min="6654" max="6654" width="5.140625" style="1" customWidth="1"/>
    <col min="6655" max="6660" width="9.140625" style="1"/>
    <col min="6661" max="6661" width="13.7109375" style="1" customWidth="1"/>
    <col min="6662" max="6665" width="16.7109375" style="1" customWidth="1"/>
    <col min="6666" max="6907" width="9.140625" style="1"/>
    <col min="6908" max="6908" width="6" style="1" customWidth="1"/>
    <col min="6909" max="6909" width="35.85546875" style="1" customWidth="1"/>
    <col min="6910" max="6910" width="5.140625" style="1" customWidth="1"/>
    <col min="6911" max="6916" width="9.140625" style="1"/>
    <col min="6917" max="6917" width="13.7109375" style="1" customWidth="1"/>
    <col min="6918" max="6921" width="16.7109375" style="1" customWidth="1"/>
    <col min="6922" max="7163" width="9.140625" style="1"/>
    <col min="7164" max="7164" width="6" style="1" customWidth="1"/>
    <col min="7165" max="7165" width="35.85546875" style="1" customWidth="1"/>
    <col min="7166" max="7166" width="5.140625" style="1" customWidth="1"/>
    <col min="7167" max="7172" width="9.140625" style="1"/>
    <col min="7173" max="7173" width="13.7109375" style="1" customWidth="1"/>
    <col min="7174" max="7177" width="16.7109375" style="1" customWidth="1"/>
    <col min="7178" max="7419" width="9.140625" style="1"/>
    <col min="7420" max="7420" width="6" style="1" customWidth="1"/>
    <col min="7421" max="7421" width="35.85546875" style="1" customWidth="1"/>
    <col min="7422" max="7422" width="5.140625" style="1" customWidth="1"/>
    <col min="7423" max="7428" width="9.140625" style="1"/>
    <col min="7429" max="7429" width="13.7109375" style="1" customWidth="1"/>
    <col min="7430" max="7433" width="16.7109375" style="1" customWidth="1"/>
    <col min="7434" max="7675" width="9.140625" style="1"/>
    <col min="7676" max="7676" width="6" style="1" customWidth="1"/>
    <col min="7677" max="7677" width="35.85546875" style="1" customWidth="1"/>
    <col min="7678" max="7678" width="5.140625" style="1" customWidth="1"/>
    <col min="7679" max="7684" width="9.140625" style="1"/>
    <col min="7685" max="7685" width="13.7109375" style="1" customWidth="1"/>
    <col min="7686" max="7689" width="16.7109375" style="1" customWidth="1"/>
    <col min="7690" max="7931" width="9.140625" style="1"/>
    <col min="7932" max="7932" width="6" style="1" customWidth="1"/>
    <col min="7933" max="7933" width="35.85546875" style="1" customWidth="1"/>
    <col min="7934" max="7934" width="5.140625" style="1" customWidth="1"/>
    <col min="7935" max="7940" width="9.140625" style="1"/>
    <col min="7941" max="7941" width="13.7109375" style="1" customWidth="1"/>
    <col min="7942" max="7945" width="16.7109375" style="1" customWidth="1"/>
    <col min="7946" max="8187" width="9.140625" style="1"/>
    <col min="8188" max="8188" width="6" style="1" customWidth="1"/>
    <col min="8189" max="8189" width="35.85546875" style="1" customWidth="1"/>
    <col min="8190" max="8190" width="5.140625" style="1" customWidth="1"/>
    <col min="8191" max="8196" width="9.140625" style="1"/>
    <col min="8197" max="8197" width="13.7109375" style="1" customWidth="1"/>
    <col min="8198" max="8201" width="16.7109375" style="1" customWidth="1"/>
    <col min="8202" max="8443" width="9.140625" style="1"/>
    <col min="8444" max="8444" width="6" style="1" customWidth="1"/>
    <col min="8445" max="8445" width="35.85546875" style="1" customWidth="1"/>
    <col min="8446" max="8446" width="5.140625" style="1" customWidth="1"/>
    <col min="8447" max="8452" width="9.140625" style="1"/>
    <col min="8453" max="8453" width="13.7109375" style="1" customWidth="1"/>
    <col min="8454" max="8457" width="16.7109375" style="1" customWidth="1"/>
    <col min="8458" max="8699" width="9.140625" style="1"/>
    <col min="8700" max="8700" width="6" style="1" customWidth="1"/>
    <col min="8701" max="8701" width="35.85546875" style="1" customWidth="1"/>
    <col min="8702" max="8702" width="5.140625" style="1" customWidth="1"/>
    <col min="8703" max="8708" width="9.140625" style="1"/>
    <col min="8709" max="8709" width="13.7109375" style="1" customWidth="1"/>
    <col min="8710" max="8713" width="16.7109375" style="1" customWidth="1"/>
    <col min="8714" max="8955" width="9.140625" style="1"/>
    <col min="8956" max="8956" width="6" style="1" customWidth="1"/>
    <col min="8957" max="8957" width="35.85546875" style="1" customWidth="1"/>
    <col min="8958" max="8958" width="5.140625" style="1" customWidth="1"/>
    <col min="8959" max="8964" width="9.140625" style="1"/>
    <col min="8965" max="8965" width="13.7109375" style="1" customWidth="1"/>
    <col min="8966" max="8969" width="16.7109375" style="1" customWidth="1"/>
    <col min="8970" max="9211" width="9.140625" style="1"/>
    <col min="9212" max="9212" width="6" style="1" customWidth="1"/>
    <col min="9213" max="9213" width="35.85546875" style="1" customWidth="1"/>
    <col min="9214" max="9214" width="5.140625" style="1" customWidth="1"/>
    <col min="9215" max="9220" width="9.140625" style="1"/>
    <col min="9221" max="9221" width="13.7109375" style="1" customWidth="1"/>
    <col min="9222" max="9225" width="16.7109375" style="1" customWidth="1"/>
    <col min="9226" max="9467" width="9.140625" style="1"/>
    <col min="9468" max="9468" width="6" style="1" customWidth="1"/>
    <col min="9469" max="9469" width="35.85546875" style="1" customWidth="1"/>
    <col min="9470" max="9470" width="5.140625" style="1" customWidth="1"/>
    <col min="9471" max="9476" width="9.140625" style="1"/>
    <col min="9477" max="9477" width="13.7109375" style="1" customWidth="1"/>
    <col min="9478" max="9481" width="16.7109375" style="1" customWidth="1"/>
    <col min="9482" max="9723" width="9.140625" style="1"/>
    <col min="9724" max="9724" width="6" style="1" customWidth="1"/>
    <col min="9725" max="9725" width="35.85546875" style="1" customWidth="1"/>
    <col min="9726" max="9726" width="5.140625" style="1" customWidth="1"/>
    <col min="9727" max="9732" width="9.140625" style="1"/>
    <col min="9733" max="9733" width="13.7109375" style="1" customWidth="1"/>
    <col min="9734" max="9737" width="16.7109375" style="1" customWidth="1"/>
    <col min="9738" max="9979" width="9.140625" style="1"/>
    <col min="9980" max="9980" width="6" style="1" customWidth="1"/>
    <col min="9981" max="9981" width="35.85546875" style="1" customWidth="1"/>
    <col min="9982" max="9982" width="5.140625" style="1" customWidth="1"/>
    <col min="9983" max="9988" width="9.140625" style="1"/>
    <col min="9989" max="9989" width="13.7109375" style="1" customWidth="1"/>
    <col min="9990" max="9993" width="16.7109375" style="1" customWidth="1"/>
    <col min="9994" max="10235" width="9.140625" style="1"/>
    <col min="10236" max="10236" width="6" style="1" customWidth="1"/>
    <col min="10237" max="10237" width="35.85546875" style="1" customWidth="1"/>
    <col min="10238" max="10238" width="5.140625" style="1" customWidth="1"/>
    <col min="10239" max="10244" width="9.140625" style="1"/>
    <col min="10245" max="10245" width="13.7109375" style="1" customWidth="1"/>
    <col min="10246" max="10249" width="16.7109375" style="1" customWidth="1"/>
    <col min="10250" max="10491" width="9.140625" style="1"/>
    <col min="10492" max="10492" width="6" style="1" customWidth="1"/>
    <col min="10493" max="10493" width="35.85546875" style="1" customWidth="1"/>
    <col min="10494" max="10494" width="5.140625" style="1" customWidth="1"/>
    <col min="10495" max="10500" width="9.140625" style="1"/>
    <col min="10501" max="10501" width="13.7109375" style="1" customWidth="1"/>
    <col min="10502" max="10505" width="16.7109375" style="1" customWidth="1"/>
    <col min="10506" max="10747" width="9.140625" style="1"/>
    <col min="10748" max="10748" width="6" style="1" customWidth="1"/>
    <col min="10749" max="10749" width="35.85546875" style="1" customWidth="1"/>
    <col min="10750" max="10750" width="5.140625" style="1" customWidth="1"/>
    <col min="10751" max="10756" width="9.140625" style="1"/>
    <col min="10757" max="10757" width="13.7109375" style="1" customWidth="1"/>
    <col min="10758" max="10761" width="16.7109375" style="1" customWidth="1"/>
    <col min="10762" max="11003" width="9.140625" style="1"/>
    <col min="11004" max="11004" width="6" style="1" customWidth="1"/>
    <col min="11005" max="11005" width="35.85546875" style="1" customWidth="1"/>
    <col min="11006" max="11006" width="5.140625" style="1" customWidth="1"/>
    <col min="11007" max="11012" width="9.140625" style="1"/>
    <col min="11013" max="11013" width="13.7109375" style="1" customWidth="1"/>
    <col min="11014" max="11017" width="16.7109375" style="1" customWidth="1"/>
    <col min="11018" max="11259" width="9.140625" style="1"/>
    <col min="11260" max="11260" width="6" style="1" customWidth="1"/>
    <col min="11261" max="11261" width="35.85546875" style="1" customWidth="1"/>
    <col min="11262" max="11262" width="5.140625" style="1" customWidth="1"/>
    <col min="11263" max="11268" width="9.140625" style="1"/>
    <col min="11269" max="11269" width="13.7109375" style="1" customWidth="1"/>
    <col min="11270" max="11273" width="16.7109375" style="1" customWidth="1"/>
    <col min="11274" max="11515" width="9.140625" style="1"/>
    <col min="11516" max="11516" width="6" style="1" customWidth="1"/>
    <col min="11517" max="11517" width="35.85546875" style="1" customWidth="1"/>
    <col min="11518" max="11518" width="5.140625" style="1" customWidth="1"/>
    <col min="11519" max="11524" width="9.140625" style="1"/>
    <col min="11525" max="11525" width="13.7109375" style="1" customWidth="1"/>
    <col min="11526" max="11529" width="16.7109375" style="1" customWidth="1"/>
    <col min="11530" max="11771" width="9.140625" style="1"/>
    <col min="11772" max="11772" width="6" style="1" customWidth="1"/>
    <col min="11773" max="11773" width="35.85546875" style="1" customWidth="1"/>
    <col min="11774" max="11774" width="5.140625" style="1" customWidth="1"/>
    <col min="11775" max="11780" width="9.140625" style="1"/>
    <col min="11781" max="11781" width="13.7109375" style="1" customWidth="1"/>
    <col min="11782" max="11785" width="16.7109375" style="1" customWidth="1"/>
    <col min="11786" max="12027" width="9.140625" style="1"/>
    <col min="12028" max="12028" width="6" style="1" customWidth="1"/>
    <col min="12029" max="12029" width="35.85546875" style="1" customWidth="1"/>
    <col min="12030" max="12030" width="5.140625" style="1" customWidth="1"/>
    <col min="12031" max="12036" width="9.140625" style="1"/>
    <col min="12037" max="12037" width="13.7109375" style="1" customWidth="1"/>
    <col min="12038" max="12041" width="16.7109375" style="1" customWidth="1"/>
    <col min="12042" max="12283" width="9.140625" style="1"/>
    <col min="12284" max="12284" width="6" style="1" customWidth="1"/>
    <col min="12285" max="12285" width="35.85546875" style="1" customWidth="1"/>
    <col min="12286" max="12286" width="5.140625" style="1" customWidth="1"/>
    <col min="12287" max="12292" width="9.140625" style="1"/>
    <col min="12293" max="12293" width="13.7109375" style="1" customWidth="1"/>
    <col min="12294" max="12297" width="16.7109375" style="1" customWidth="1"/>
    <col min="12298" max="12539" width="9.140625" style="1"/>
    <col min="12540" max="12540" width="6" style="1" customWidth="1"/>
    <col min="12541" max="12541" width="35.85546875" style="1" customWidth="1"/>
    <col min="12542" max="12542" width="5.140625" style="1" customWidth="1"/>
    <col min="12543" max="12548" width="9.140625" style="1"/>
    <col min="12549" max="12549" width="13.7109375" style="1" customWidth="1"/>
    <col min="12550" max="12553" width="16.7109375" style="1" customWidth="1"/>
    <col min="12554" max="12795" width="9.140625" style="1"/>
    <col min="12796" max="12796" width="6" style="1" customWidth="1"/>
    <col min="12797" max="12797" width="35.85546875" style="1" customWidth="1"/>
    <col min="12798" max="12798" width="5.140625" style="1" customWidth="1"/>
    <col min="12799" max="12804" width="9.140625" style="1"/>
    <col min="12805" max="12805" width="13.7109375" style="1" customWidth="1"/>
    <col min="12806" max="12809" width="16.7109375" style="1" customWidth="1"/>
    <col min="12810" max="13051" width="9.140625" style="1"/>
    <col min="13052" max="13052" width="6" style="1" customWidth="1"/>
    <col min="13053" max="13053" width="35.85546875" style="1" customWidth="1"/>
    <col min="13054" max="13054" width="5.140625" style="1" customWidth="1"/>
    <col min="13055" max="13060" width="9.140625" style="1"/>
    <col min="13061" max="13061" width="13.7109375" style="1" customWidth="1"/>
    <col min="13062" max="13065" width="16.7109375" style="1" customWidth="1"/>
    <col min="13066" max="13307" width="9.140625" style="1"/>
    <col min="13308" max="13308" width="6" style="1" customWidth="1"/>
    <col min="13309" max="13309" width="35.85546875" style="1" customWidth="1"/>
    <col min="13310" max="13310" width="5.140625" style="1" customWidth="1"/>
    <col min="13311" max="13316" width="9.140625" style="1"/>
    <col min="13317" max="13317" width="13.7109375" style="1" customWidth="1"/>
    <col min="13318" max="13321" width="16.7109375" style="1" customWidth="1"/>
    <col min="13322" max="13563" width="9.140625" style="1"/>
    <col min="13564" max="13564" width="6" style="1" customWidth="1"/>
    <col min="13565" max="13565" width="35.85546875" style="1" customWidth="1"/>
    <col min="13566" max="13566" width="5.140625" style="1" customWidth="1"/>
    <col min="13567" max="13572" width="9.140625" style="1"/>
    <col min="13573" max="13573" width="13.7109375" style="1" customWidth="1"/>
    <col min="13574" max="13577" width="16.7109375" style="1" customWidth="1"/>
    <col min="13578" max="13819" width="9.140625" style="1"/>
    <col min="13820" max="13820" width="6" style="1" customWidth="1"/>
    <col min="13821" max="13821" width="35.85546875" style="1" customWidth="1"/>
    <col min="13822" max="13822" width="5.140625" style="1" customWidth="1"/>
    <col min="13823" max="13828" width="9.140625" style="1"/>
    <col min="13829" max="13829" width="13.7109375" style="1" customWidth="1"/>
    <col min="13830" max="13833" width="16.7109375" style="1" customWidth="1"/>
    <col min="13834" max="14075" width="9.140625" style="1"/>
    <col min="14076" max="14076" width="6" style="1" customWidth="1"/>
    <col min="14077" max="14077" width="35.85546875" style="1" customWidth="1"/>
    <col min="14078" max="14078" width="5.140625" style="1" customWidth="1"/>
    <col min="14079" max="14084" width="9.140625" style="1"/>
    <col min="14085" max="14085" width="13.7109375" style="1" customWidth="1"/>
    <col min="14086" max="14089" width="16.7109375" style="1" customWidth="1"/>
    <col min="14090" max="14331" width="9.140625" style="1"/>
    <col min="14332" max="14332" width="6" style="1" customWidth="1"/>
    <col min="14333" max="14333" width="35.85546875" style="1" customWidth="1"/>
    <col min="14334" max="14334" width="5.140625" style="1" customWidth="1"/>
    <col min="14335" max="14340" width="9.140625" style="1"/>
    <col min="14341" max="14341" width="13.7109375" style="1" customWidth="1"/>
    <col min="14342" max="14345" width="16.7109375" style="1" customWidth="1"/>
    <col min="14346" max="14587" width="9.140625" style="1"/>
    <col min="14588" max="14588" width="6" style="1" customWidth="1"/>
    <col min="14589" max="14589" width="35.85546875" style="1" customWidth="1"/>
    <col min="14590" max="14590" width="5.140625" style="1" customWidth="1"/>
    <col min="14591" max="14596" width="9.140625" style="1"/>
    <col min="14597" max="14597" width="13.7109375" style="1" customWidth="1"/>
    <col min="14598" max="14601" width="16.7109375" style="1" customWidth="1"/>
    <col min="14602" max="14843" width="9.140625" style="1"/>
    <col min="14844" max="14844" width="6" style="1" customWidth="1"/>
    <col min="14845" max="14845" width="35.85546875" style="1" customWidth="1"/>
    <col min="14846" max="14846" width="5.140625" style="1" customWidth="1"/>
    <col min="14847" max="14852" width="9.140625" style="1"/>
    <col min="14853" max="14853" width="13.7109375" style="1" customWidth="1"/>
    <col min="14854" max="14857" width="16.7109375" style="1" customWidth="1"/>
    <col min="14858" max="15099" width="9.140625" style="1"/>
    <col min="15100" max="15100" width="6" style="1" customWidth="1"/>
    <col min="15101" max="15101" width="35.85546875" style="1" customWidth="1"/>
    <col min="15102" max="15102" width="5.140625" style="1" customWidth="1"/>
    <col min="15103" max="15108" width="9.140625" style="1"/>
    <col min="15109" max="15109" width="13.7109375" style="1" customWidth="1"/>
    <col min="15110" max="15113" width="16.7109375" style="1" customWidth="1"/>
    <col min="15114" max="15355" width="9.140625" style="1"/>
    <col min="15356" max="15356" width="6" style="1" customWidth="1"/>
    <col min="15357" max="15357" width="35.85546875" style="1" customWidth="1"/>
    <col min="15358" max="15358" width="5.140625" style="1" customWidth="1"/>
    <col min="15359" max="15364" width="9.140625" style="1"/>
    <col min="15365" max="15365" width="13.7109375" style="1" customWidth="1"/>
    <col min="15366" max="15369" width="16.7109375" style="1" customWidth="1"/>
    <col min="15370" max="15611" width="9.140625" style="1"/>
    <col min="15612" max="15612" width="6" style="1" customWidth="1"/>
    <col min="15613" max="15613" width="35.85546875" style="1" customWidth="1"/>
    <col min="15614" max="15614" width="5.140625" style="1" customWidth="1"/>
    <col min="15615" max="15620" width="9.140625" style="1"/>
    <col min="15621" max="15621" width="13.7109375" style="1" customWidth="1"/>
    <col min="15622" max="15625" width="16.7109375" style="1" customWidth="1"/>
    <col min="15626" max="15867" width="9.140625" style="1"/>
    <col min="15868" max="15868" width="6" style="1" customWidth="1"/>
    <col min="15869" max="15869" width="35.85546875" style="1" customWidth="1"/>
    <col min="15870" max="15870" width="5.140625" style="1" customWidth="1"/>
    <col min="15871" max="15876" width="9.140625" style="1"/>
    <col min="15877" max="15877" width="13.7109375" style="1" customWidth="1"/>
    <col min="15878" max="15881" width="16.7109375" style="1" customWidth="1"/>
    <col min="15882" max="16123" width="9.140625" style="1"/>
    <col min="16124" max="16124" width="6" style="1" customWidth="1"/>
    <col min="16125" max="16125" width="35.85546875" style="1" customWidth="1"/>
    <col min="16126" max="16126" width="5.140625" style="1" customWidth="1"/>
    <col min="16127" max="16132" width="9.140625" style="1"/>
    <col min="16133" max="16133" width="13.7109375" style="1" customWidth="1"/>
    <col min="16134" max="16137" width="16.7109375" style="1" customWidth="1"/>
    <col min="16138" max="16384" width="9.140625" style="1"/>
  </cols>
  <sheetData>
    <row r="1" spans="1:16" ht="15" customHeight="1" x14ac:dyDescent="0.25">
      <c r="F1" s="94"/>
      <c r="G1" s="428"/>
      <c r="H1" s="428"/>
      <c r="I1" s="428"/>
    </row>
    <row r="2" spans="1:16" ht="15" customHeight="1" x14ac:dyDescent="0.25">
      <c r="A2" s="429" t="s">
        <v>192</v>
      </c>
      <c r="B2" s="429"/>
      <c r="C2" s="429"/>
      <c r="F2" s="428"/>
      <c r="G2" s="428"/>
      <c r="H2" s="428"/>
      <c r="I2" s="428"/>
    </row>
    <row r="4" spans="1:16" x14ac:dyDescent="0.25">
      <c r="C4" s="40"/>
      <c r="D4" s="40"/>
      <c r="E4" s="41"/>
      <c r="F4" s="95"/>
      <c r="G4" s="220"/>
      <c r="H4" s="33"/>
      <c r="I4" s="33"/>
    </row>
    <row r="5" spans="1:16" x14ac:dyDescent="0.25">
      <c r="C5" s="430" t="s">
        <v>208</v>
      </c>
      <c r="D5" s="430"/>
      <c r="E5" s="430"/>
      <c r="F5" s="430"/>
      <c r="G5" s="430"/>
      <c r="H5" s="430"/>
      <c r="I5" s="33"/>
    </row>
    <row r="6" spans="1:16" x14ac:dyDescent="0.25">
      <c r="C6" s="430" t="s">
        <v>191</v>
      </c>
      <c r="D6" s="430"/>
      <c r="E6" s="430"/>
      <c r="F6" s="430"/>
      <c r="G6" s="430"/>
      <c r="H6" s="430"/>
      <c r="I6" s="33"/>
    </row>
    <row r="7" spans="1:16" x14ac:dyDescent="0.25">
      <c r="C7" s="40"/>
      <c r="D7" s="40"/>
      <c r="E7" s="41"/>
      <c r="F7" s="95"/>
      <c r="G7" s="220"/>
      <c r="H7" s="33"/>
      <c r="I7" s="33"/>
    </row>
    <row r="8" spans="1:16" x14ac:dyDescent="0.25">
      <c r="C8" s="40"/>
      <c r="D8" s="40"/>
      <c r="E8" s="41"/>
      <c r="F8" s="95"/>
      <c r="G8" s="220"/>
      <c r="H8" s="33"/>
      <c r="I8" s="33"/>
    </row>
    <row r="9" spans="1:16" x14ac:dyDescent="0.25">
      <c r="A9" s="427" t="s">
        <v>209</v>
      </c>
      <c r="B9" s="427"/>
      <c r="C9" s="427"/>
      <c r="D9" s="427"/>
      <c r="E9" s="427"/>
      <c r="F9" s="427"/>
      <c r="G9" s="427"/>
      <c r="H9" s="427"/>
      <c r="I9" s="427"/>
    </row>
    <row r="10" spans="1:16" ht="40.5" customHeight="1" x14ac:dyDescent="0.25">
      <c r="A10" s="427"/>
      <c r="B10" s="427"/>
      <c r="C10" s="427"/>
      <c r="D10" s="427"/>
      <c r="E10" s="427"/>
      <c r="F10" s="427"/>
      <c r="G10" s="427"/>
      <c r="H10" s="427"/>
      <c r="I10" s="427"/>
    </row>
    <row r="11" spans="1:16" x14ac:dyDescent="0.25">
      <c r="C11" s="40"/>
      <c r="D11" s="40"/>
      <c r="E11" s="41"/>
      <c r="F11" s="95"/>
      <c r="G11" s="220"/>
      <c r="H11" s="33"/>
      <c r="I11" s="33"/>
    </row>
    <row r="12" spans="1:16" x14ac:dyDescent="0.25">
      <c r="A12" s="431" t="s">
        <v>210</v>
      </c>
      <c r="B12" s="431"/>
      <c r="C12" s="432" t="s">
        <v>211</v>
      </c>
      <c r="D12" s="432"/>
      <c r="E12" s="432"/>
      <c r="F12" s="432"/>
      <c r="G12" s="432"/>
      <c r="H12" s="432"/>
      <c r="I12" s="432"/>
      <c r="L12" s="41"/>
    </row>
    <row r="13" spans="1:16" ht="15.75" thickBot="1" x14ac:dyDescent="0.3">
      <c r="C13" s="36" t="s">
        <v>50</v>
      </c>
      <c r="D13" s="103"/>
    </row>
    <row r="14" spans="1:16" s="2" customFormat="1" ht="15.75" thickBot="1" x14ac:dyDescent="0.3">
      <c r="A14" s="433" t="s">
        <v>0</v>
      </c>
      <c r="B14" s="435" t="s">
        <v>51</v>
      </c>
      <c r="C14" s="437" t="s">
        <v>1</v>
      </c>
      <c r="D14" s="437" t="s">
        <v>2</v>
      </c>
      <c r="E14" s="439" t="s">
        <v>3</v>
      </c>
      <c r="F14" s="441" t="s">
        <v>4</v>
      </c>
      <c r="G14" s="442"/>
      <c r="H14" s="441" t="s">
        <v>5</v>
      </c>
      <c r="I14" s="442"/>
      <c r="J14" s="95"/>
      <c r="K14" s="393"/>
      <c r="L14" s="393"/>
      <c r="M14" s="393"/>
      <c r="N14" s="393"/>
      <c r="O14" s="303"/>
      <c r="P14" s="303"/>
    </row>
    <row r="15" spans="1:16" s="2" customFormat="1" ht="15.75" thickBot="1" x14ac:dyDescent="0.3">
      <c r="A15" s="434"/>
      <c r="B15" s="436"/>
      <c r="C15" s="438"/>
      <c r="D15" s="438"/>
      <c r="E15" s="440"/>
      <c r="F15" s="219" t="s">
        <v>44</v>
      </c>
      <c r="G15" s="219" t="s">
        <v>6</v>
      </c>
      <c r="H15" s="219" t="s">
        <v>44</v>
      </c>
      <c r="I15" s="219" t="s">
        <v>6</v>
      </c>
      <c r="J15" s="95"/>
      <c r="K15" s="393"/>
      <c r="L15" s="393"/>
      <c r="M15" s="393"/>
      <c r="N15" s="393"/>
      <c r="O15" s="303"/>
      <c r="P15" s="303"/>
    </row>
    <row r="16" spans="1:16" s="2" customFormat="1" ht="15.75" thickBot="1" x14ac:dyDescent="0.3">
      <c r="A16" s="300" t="s">
        <v>18</v>
      </c>
      <c r="B16" s="301" t="s">
        <v>21</v>
      </c>
      <c r="C16" s="300" t="s">
        <v>28</v>
      </c>
      <c r="D16" s="300" t="s">
        <v>30</v>
      </c>
      <c r="E16" s="300" t="s">
        <v>35</v>
      </c>
      <c r="F16" s="300" t="s">
        <v>36</v>
      </c>
      <c r="G16" s="300" t="s">
        <v>37</v>
      </c>
      <c r="H16" s="300" t="s">
        <v>38</v>
      </c>
      <c r="I16" s="302" t="s">
        <v>40</v>
      </c>
      <c r="J16" s="95"/>
      <c r="K16" s="393"/>
      <c r="L16" s="393"/>
      <c r="M16" s="393"/>
      <c r="N16" s="393"/>
      <c r="O16" s="303"/>
      <c r="P16" s="303"/>
    </row>
    <row r="17" spans="1:16" ht="15.75" thickBot="1" x14ac:dyDescent="0.3">
      <c r="A17" s="42"/>
      <c r="B17" s="43"/>
      <c r="C17" s="296" t="s">
        <v>52</v>
      </c>
      <c r="D17" s="297"/>
      <c r="E17" s="297"/>
      <c r="F17" s="297"/>
      <c r="G17" s="298"/>
      <c r="H17" s="298"/>
      <c r="I17" s="299"/>
      <c r="K17" s="40" t="s">
        <v>8</v>
      </c>
    </row>
    <row r="18" spans="1:16" ht="63.75" x14ac:dyDescent="0.25">
      <c r="A18" s="117">
        <v>1</v>
      </c>
      <c r="B18" s="118" t="s">
        <v>7</v>
      </c>
      <c r="C18" s="119" t="s">
        <v>212</v>
      </c>
      <c r="D18" s="120" t="s">
        <v>53</v>
      </c>
      <c r="E18" s="121">
        <v>220.33</v>
      </c>
      <c r="F18" s="122"/>
      <c r="G18" s="123">
        <v>0</v>
      </c>
      <c r="H18" s="124"/>
      <c r="I18" s="123">
        <f t="shared" ref="I18:I23" si="0">E18*G18</f>
        <v>0</v>
      </c>
      <c r="K18" s="41">
        <f>E18+E19</f>
        <v>227.13000000000002</v>
      </c>
      <c r="L18" s="40" t="s">
        <v>93</v>
      </c>
    </row>
    <row r="19" spans="1:16" ht="38.25" x14ac:dyDescent="0.25">
      <c r="A19" s="106" t="s">
        <v>21</v>
      </c>
      <c r="B19" s="107" t="s">
        <v>7</v>
      </c>
      <c r="C19" s="108" t="s">
        <v>54</v>
      </c>
      <c r="D19" s="109" t="s">
        <v>53</v>
      </c>
      <c r="E19" s="110">
        <v>6.8</v>
      </c>
      <c r="F19" s="111"/>
      <c r="G19" s="114">
        <v>0</v>
      </c>
      <c r="H19" s="113"/>
      <c r="I19" s="114">
        <f t="shared" si="0"/>
        <v>0</v>
      </c>
      <c r="K19" s="41">
        <f>K32+K35</f>
        <v>2.9058205270000004</v>
      </c>
      <c r="L19" s="40" t="s">
        <v>185</v>
      </c>
    </row>
    <row r="20" spans="1:16" x14ac:dyDescent="0.25">
      <c r="A20" s="106" t="s">
        <v>28</v>
      </c>
      <c r="B20" s="107" t="s">
        <v>7</v>
      </c>
      <c r="C20" s="108" t="s">
        <v>186</v>
      </c>
      <c r="D20" s="109" t="s">
        <v>8</v>
      </c>
      <c r="E20" s="110">
        <f>E19</f>
        <v>6.8</v>
      </c>
      <c r="F20" s="111"/>
      <c r="G20" s="114">
        <v>0</v>
      </c>
      <c r="H20" s="113"/>
      <c r="I20" s="114">
        <f t="shared" si="0"/>
        <v>0</v>
      </c>
      <c r="K20" s="41">
        <f>E22+E24</f>
        <v>56.36</v>
      </c>
      <c r="L20" s="40" t="s">
        <v>163</v>
      </c>
    </row>
    <row r="21" spans="1:16" x14ac:dyDescent="0.25">
      <c r="A21" s="106" t="s">
        <v>30</v>
      </c>
      <c r="B21" s="107" t="s">
        <v>7</v>
      </c>
      <c r="C21" s="108" t="s">
        <v>187</v>
      </c>
      <c r="D21" s="109" t="s">
        <v>31</v>
      </c>
      <c r="E21" s="110">
        <f>(E18+E19)*1.6</f>
        <v>363.40800000000007</v>
      </c>
      <c r="F21" s="111"/>
      <c r="G21" s="114">
        <v>0</v>
      </c>
      <c r="H21" s="113"/>
      <c r="I21" s="114">
        <f>E21*G21</f>
        <v>0</v>
      </c>
      <c r="K21" s="41"/>
    </row>
    <row r="22" spans="1:16" ht="25.5" x14ac:dyDescent="0.25">
      <c r="A22" s="106" t="s">
        <v>35</v>
      </c>
      <c r="B22" s="107" t="s">
        <v>7</v>
      </c>
      <c r="C22" s="108" t="s">
        <v>9</v>
      </c>
      <c r="D22" s="109" t="s">
        <v>53</v>
      </c>
      <c r="E22" s="110">
        <v>8.93</v>
      </c>
      <c r="F22" s="111"/>
      <c r="G22" s="114">
        <v>0</v>
      </c>
      <c r="H22" s="113"/>
      <c r="I22" s="114">
        <f t="shared" si="0"/>
        <v>0</v>
      </c>
      <c r="K22" s="41">
        <f>E53</f>
        <v>1.1419999999999999</v>
      </c>
      <c r="L22" s="40" t="s">
        <v>164</v>
      </c>
    </row>
    <row r="23" spans="1:16" ht="38.25" x14ac:dyDescent="0.25">
      <c r="A23" s="125" t="s">
        <v>27</v>
      </c>
      <c r="B23" s="126" t="s">
        <v>11</v>
      </c>
      <c r="C23" s="127" t="s">
        <v>12</v>
      </c>
      <c r="D23" s="109" t="s">
        <v>8</v>
      </c>
      <c r="E23" s="110">
        <f>1.1*E22</f>
        <v>9.8230000000000004</v>
      </c>
      <c r="F23" s="128">
        <v>0</v>
      </c>
      <c r="G23" s="129"/>
      <c r="H23" s="130">
        <f>E23*F23</f>
        <v>0</v>
      </c>
      <c r="I23" s="129">
        <f t="shared" si="0"/>
        <v>0</v>
      </c>
      <c r="K23" s="40">
        <v>16.8</v>
      </c>
      <c r="L23" s="40" t="s">
        <v>183</v>
      </c>
    </row>
    <row r="24" spans="1:16" ht="25.5" x14ac:dyDescent="0.25">
      <c r="A24" s="106" t="s">
        <v>36</v>
      </c>
      <c r="B24" s="107" t="s">
        <v>7</v>
      </c>
      <c r="C24" s="108" t="s">
        <v>97</v>
      </c>
      <c r="D24" s="109" t="s">
        <v>53</v>
      </c>
      <c r="E24" s="110">
        <v>47.43</v>
      </c>
      <c r="F24" s="111"/>
      <c r="G24" s="114">
        <v>0</v>
      </c>
      <c r="H24" s="113"/>
      <c r="I24" s="114">
        <f>E24*G24</f>
        <v>0</v>
      </c>
      <c r="K24" s="40">
        <v>1.7</v>
      </c>
      <c r="L24" s="40" t="s">
        <v>184</v>
      </c>
    </row>
    <row r="25" spans="1:16" ht="38.25" x14ac:dyDescent="0.25">
      <c r="A25" s="125" t="s">
        <v>10</v>
      </c>
      <c r="B25" s="126" t="s">
        <v>11</v>
      </c>
      <c r="C25" s="127" t="s">
        <v>12</v>
      </c>
      <c r="D25" s="109" t="s">
        <v>53</v>
      </c>
      <c r="E25" s="110">
        <f>1.1*E24</f>
        <v>52.173000000000002</v>
      </c>
      <c r="F25" s="128">
        <v>0</v>
      </c>
      <c r="G25" s="129"/>
      <c r="H25" s="130">
        <f>E25*F25</f>
        <v>0</v>
      </c>
      <c r="I25" s="129"/>
      <c r="K25" s="41">
        <f>K18-K19-K20-K22-K23-K24</f>
        <v>148.22217947300004</v>
      </c>
      <c r="N25" s="304">
        <f>K19+K20+K22+K23+K24</f>
        <v>78.907820527000013</v>
      </c>
      <c r="O25" s="443" t="s">
        <v>165</v>
      </c>
      <c r="P25" s="443"/>
    </row>
    <row r="26" spans="1:16" ht="51" x14ac:dyDescent="0.25">
      <c r="A26" s="106" t="s">
        <v>37</v>
      </c>
      <c r="B26" s="107" t="s">
        <v>7</v>
      </c>
      <c r="C26" s="108" t="s">
        <v>55</v>
      </c>
      <c r="D26" s="109" t="s">
        <v>8</v>
      </c>
      <c r="E26" s="110">
        <v>148.22</v>
      </c>
      <c r="F26" s="111"/>
      <c r="G26" s="112">
        <v>0</v>
      </c>
      <c r="H26" s="113"/>
      <c r="I26" s="114">
        <f t="shared" ref="I26:I28" si="1">E26*G26</f>
        <v>0</v>
      </c>
    </row>
    <row r="27" spans="1:16" ht="25.5" x14ac:dyDescent="0.25">
      <c r="A27" s="106" t="s">
        <v>38</v>
      </c>
      <c r="B27" s="107" t="s">
        <v>7</v>
      </c>
      <c r="C27" s="108" t="s">
        <v>14</v>
      </c>
      <c r="D27" s="109" t="s">
        <v>53</v>
      </c>
      <c r="E27" s="110"/>
      <c r="F27" s="111"/>
      <c r="G27" s="114">
        <v>0</v>
      </c>
      <c r="H27" s="113"/>
      <c r="I27" s="114">
        <f t="shared" si="1"/>
        <v>0</v>
      </c>
    </row>
    <row r="28" spans="1:16" ht="21.75" customHeight="1" thickBot="1" x14ac:dyDescent="0.3">
      <c r="A28" s="131" t="s">
        <v>40</v>
      </c>
      <c r="B28" s="132" t="s">
        <v>7</v>
      </c>
      <c r="C28" s="133" t="s">
        <v>15</v>
      </c>
      <c r="D28" s="134" t="s">
        <v>45</v>
      </c>
      <c r="E28" s="135">
        <v>0</v>
      </c>
      <c r="F28" s="136"/>
      <c r="G28" s="137">
        <v>0</v>
      </c>
      <c r="H28" s="138"/>
      <c r="I28" s="137">
        <f t="shared" si="1"/>
        <v>0</v>
      </c>
    </row>
    <row r="29" spans="1:16" ht="15.75" thickBot="1" x14ac:dyDescent="0.3">
      <c r="A29" s="210"/>
      <c r="B29" s="211"/>
      <c r="C29" s="212" t="s">
        <v>16</v>
      </c>
      <c r="D29" s="213"/>
      <c r="E29" s="214"/>
      <c r="F29" s="221"/>
      <c r="G29" s="222"/>
      <c r="H29" s="223">
        <f>SUM(H23:H28)</f>
        <v>0</v>
      </c>
      <c r="I29" s="222">
        <f>SUM(I18:I28)</f>
        <v>0</v>
      </c>
    </row>
    <row r="30" spans="1:16" ht="15.75" thickBot="1" x14ac:dyDescent="0.3">
      <c r="A30" s="224"/>
      <c r="B30" s="225"/>
      <c r="C30" s="212" t="s">
        <v>17</v>
      </c>
      <c r="D30" s="226"/>
      <c r="E30" s="226"/>
      <c r="F30" s="215"/>
      <c r="G30" s="215"/>
      <c r="H30" s="215"/>
      <c r="I30" s="227">
        <f>H29+I29</f>
        <v>0</v>
      </c>
    </row>
    <row r="31" spans="1:16" ht="15.75" thickBot="1" x14ac:dyDescent="0.3">
      <c r="A31" s="412" t="s">
        <v>188</v>
      </c>
      <c r="B31" s="408"/>
      <c r="C31" s="408"/>
      <c r="D31" s="408"/>
      <c r="E31" s="408"/>
      <c r="F31" s="408"/>
      <c r="G31" s="408"/>
      <c r="H31" s="408"/>
      <c r="I31" s="413"/>
    </row>
    <row r="32" spans="1:16" ht="37.5" customHeight="1" x14ac:dyDescent="0.25">
      <c r="A32" s="106" t="s">
        <v>18</v>
      </c>
      <c r="B32" s="107" t="s">
        <v>7</v>
      </c>
      <c r="C32" s="455" t="s">
        <v>220</v>
      </c>
      <c r="D32" s="139" t="s">
        <v>19</v>
      </c>
      <c r="E32" s="140">
        <v>18.7</v>
      </c>
      <c r="F32" s="113"/>
      <c r="G32" s="228">
        <v>0</v>
      </c>
      <c r="H32" s="113"/>
      <c r="I32" s="141">
        <f>E32*G32</f>
        <v>0</v>
      </c>
      <c r="K32" s="41">
        <f>3.14*0.158*0.158*18.7</f>
        <v>1.4658361520000001</v>
      </c>
    </row>
    <row r="33" spans="1:11" ht="37.5" customHeight="1" x14ac:dyDescent="0.25">
      <c r="A33" s="477" t="s">
        <v>20</v>
      </c>
      <c r="B33" s="478" t="s">
        <v>11</v>
      </c>
      <c r="C33" s="479" t="s">
        <v>218</v>
      </c>
      <c r="D33" s="480" t="s">
        <v>19</v>
      </c>
      <c r="E33" s="481">
        <f>1.025*E32</f>
        <v>19.167499999999997</v>
      </c>
      <c r="F33" s="482">
        <v>0</v>
      </c>
      <c r="G33" s="470"/>
      <c r="H33" s="482">
        <f t="shared" ref="H33:H37" si="2">E33*F33</f>
        <v>0</v>
      </c>
      <c r="I33" s="470"/>
    </row>
    <row r="34" spans="1:11" ht="37.5" customHeight="1" x14ac:dyDescent="0.25">
      <c r="A34" s="477" t="s">
        <v>120</v>
      </c>
      <c r="B34" s="478" t="s">
        <v>11</v>
      </c>
      <c r="C34" s="479" t="s">
        <v>219</v>
      </c>
      <c r="D34" s="480" t="s">
        <v>24</v>
      </c>
      <c r="E34" s="481">
        <v>4</v>
      </c>
      <c r="F34" s="482">
        <v>0</v>
      </c>
      <c r="G34" s="470"/>
      <c r="H34" s="482">
        <f t="shared" si="2"/>
        <v>0</v>
      </c>
      <c r="I34" s="470"/>
    </row>
    <row r="35" spans="1:11" ht="45.75" customHeight="1" x14ac:dyDescent="0.25">
      <c r="A35" s="106" t="s">
        <v>21</v>
      </c>
      <c r="B35" s="107" t="s">
        <v>7</v>
      </c>
      <c r="C35" s="146" t="s">
        <v>94</v>
      </c>
      <c r="D35" s="142" t="s">
        <v>19</v>
      </c>
      <c r="E35" s="140">
        <v>29.35</v>
      </c>
      <c r="F35" s="130"/>
      <c r="G35" s="141">
        <v>0</v>
      </c>
      <c r="H35" s="130">
        <f t="shared" si="2"/>
        <v>0</v>
      </c>
      <c r="I35" s="141">
        <f>E35*G35</f>
        <v>0</v>
      </c>
      <c r="K35" s="41">
        <f>3.14*0.125*0.125*29.35</f>
        <v>1.4399843750000001</v>
      </c>
    </row>
    <row r="36" spans="1:11" ht="42.75" customHeight="1" x14ac:dyDescent="0.25">
      <c r="A36" s="147" t="s">
        <v>22</v>
      </c>
      <c r="B36" s="148" t="s">
        <v>11</v>
      </c>
      <c r="C36" s="149" t="s">
        <v>95</v>
      </c>
      <c r="D36" s="150" t="s">
        <v>19</v>
      </c>
      <c r="E36" s="151">
        <f>1.025*E35</f>
        <v>30.083749999999998</v>
      </c>
      <c r="F36" s="152">
        <v>0</v>
      </c>
      <c r="G36" s="153"/>
      <c r="H36" s="130">
        <f t="shared" si="2"/>
        <v>0</v>
      </c>
      <c r="I36" s="153"/>
    </row>
    <row r="37" spans="1:11" ht="26.25" thickBot="1" x14ac:dyDescent="0.3">
      <c r="A37" s="125" t="s">
        <v>23</v>
      </c>
      <c r="B37" s="154" t="s">
        <v>11</v>
      </c>
      <c r="C37" s="155" t="s">
        <v>96</v>
      </c>
      <c r="D37" s="150" t="s">
        <v>24</v>
      </c>
      <c r="E37" s="151">
        <v>6</v>
      </c>
      <c r="F37" s="130">
        <v>0</v>
      </c>
      <c r="G37" s="156"/>
      <c r="H37" s="130">
        <f t="shared" si="2"/>
        <v>0</v>
      </c>
      <c r="I37" s="153"/>
    </row>
    <row r="38" spans="1:11" ht="15.75" thickBot="1" x14ac:dyDescent="0.3">
      <c r="A38" s="229"/>
      <c r="B38" s="230"/>
      <c r="C38" s="231" t="s">
        <v>16</v>
      </c>
      <c r="D38" s="232"/>
      <c r="E38" s="233"/>
      <c r="F38" s="234"/>
      <c r="G38" s="234"/>
      <c r="H38" s="235">
        <f>SUM(H32:H37)</f>
        <v>0</v>
      </c>
      <c r="I38" s="236">
        <f>SUM(I32:I37)</f>
        <v>0</v>
      </c>
    </row>
    <row r="39" spans="1:11" ht="15.75" thickBot="1" x14ac:dyDescent="0.3">
      <c r="A39" s="237"/>
      <c r="B39" s="238"/>
      <c r="C39" s="231" t="s">
        <v>17</v>
      </c>
      <c r="D39" s="239"/>
      <c r="E39" s="233"/>
      <c r="F39" s="234"/>
      <c r="G39" s="234"/>
      <c r="H39" s="227"/>
      <c r="I39" s="227">
        <f>H38+I38</f>
        <v>0</v>
      </c>
    </row>
    <row r="40" spans="1:11" ht="16.5" thickBot="1" x14ac:dyDescent="0.3">
      <c r="A40" s="444" t="s">
        <v>130</v>
      </c>
      <c r="B40" s="445"/>
      <c r="C40" s="445"/>
      <c r="D40" s="445"/>
      <c r="E40" s="445"/>
      <c r="F40" s="445"/>
      <c r="G40" s="445"/>
      <c r="H40" s="445"/>
      <c r="I40" s="446"/>
    </row>
    <row r="41" spans="1:11" ht="38.25" x14ac:dyDescent="0.25">
      <c r="A41" s="240"/>
      <c r="B41" s="241" t="s">
        <v>7</v>
      </c>
      <c r="C41" s="241" t="s">
        <v>173</v>
      </c>
      <c r="D41" s="242" t="s">
        <v>19</v>
      </c>
      <c r="E41" s="243">
        <v>4.3</v>
      </c>
      <c r="F41" s="244"/>
      <c r="G41" s="245">
        <v>0</v>
      </c>
      <c r="H41" s="246"/>
      <c r="I41" s="245">
        <f>E41*G41</f>
        <v>0</v>
      </c>
      <c r="K41" s="41">
        <f>3.14*0.2*0.2*12.9</f>
        <v>1.6202400000000003</v>
      </c>
    </row>
    <row r="42" spans="1:11" ht="38.25" x14ac:dyDescent="0.25">
      <c r="A42" s="247"/>
      <c r="B42" s="248" t="s">
        <v>11</v>
      </c>
      <c r="C42" s="248" t="s">
        <v>174</v>
      </c>
      <c r="D42" s="249" t="s">
        <v>19</v>
      </c>
      <c r="E42" s="250">
        <v>4.3</v>
      </c>
      <c r="F42" s="251">
        <v>0</v>
      </c>
      <c r="G42" s="252"/>
      <c r="H42" s="253">
        <f>E42*F42</f>
        <v>0</v>
      </c>
      <c r="I42" s="252"/>
    </row>
    <row r="43" spans="1:11" ht="45.75" customHeight="1" x14ac:dyDescent="0.25">
      <c r="A43" s="254" t="s">
        <v>18</v>
      </c>
      <c r="B43" s="255" t="s">
        <v>7</v>
      </c>
      <c r="C43" s="256" t="s">
        <v>59</v>
      </c>
      <c r="D43" s="257" t="s">
        <v>19</v>
      </c>
      <c r="E43" s="258">
        <v>14.42</v>
      </c>
      <c r="F43" s="113"/>
      <c r="G43" s="114">
        <v>0</v>
      </c>
      <c r="H43" s="111"/>
      <c r="I43" s="114">
        <f>E43*G43</f>
        <v>0</v>
      </c>
      <c r="J43" s="307"/>
    </row>
    <row r="44" spans="1:11" ht="51" x14ac:dyDescent="0.25">
      <c r="A44" s="259" t="s">
        <v>20</v>
      </c>
      <c r="B44" s="260" t="s">
        <v>11</v>
      </c>
      <c r="C44" s="261" t="s">
        <v>87</v>
      </c>
      <c r="D44" s="262" t="s">
        <v>19</v>
      </c>
      <c r="E44" s="263">
        <f>E43</f>
        <v>14.42</v>
      </c>
      <c r="F44" s="130">
        <v>0</v>
      </c>
      <c r="G44" s="129"/>
      <c r="H44" s="128">
        <f>E44*F44</f>
        <v>0</v>
      </c>
      <c r="I44" s="129"/>
    </row>
    <row r="45" spans="1:11" ht="25.5" x14ac:dyDescent="0.25">
      <c r="A45" s="259" t="s">
        <v>120</v>
      </c>
      <c r="B45" s="260" t="s">
        <v>11</v>
      </c>
      <c r="C45" s="261" t="s">
        <v>88</v>
      </c>
      <c r="D45" s="262" t="s">
        <v>24</v>
      </c>
      <c r="E45" s="264">
        <v>2</v>
      </c>
      <c r="F45" s="130">
        <v>0</v>
      </c>
      <c r="G45" s="129"/>
      <c r="H45" s="128">
        <f>E45*F45</f>
        <v>0</v>
      </c>
      <c r="I45" s="129"/>
    </row>
    <row r="46" spans="1:11" ht="25.5" x14ac:dyDescent="0.25">
      <c r="A46" s="265" t="s">
        <v>28</v>
      </c>
      <c r="B46" s="266" t="s">
        <v>7</v>
      </c>
      <c r="C46" s="267" t="s">
        <v>39</v>
      </c>
      <c r="D46" s="268" t="s">
        <v>24</v>
      </c>
      <c r="E46" s="269">
        <v>2</v>
      </c>
      <c r="F46" s="270"/>
      <c r="G46" s="271">
        <v>0</v>
      </c>
      <c r="H46" s="272"/>
      <c r="I46" s="271">
        <f>E46*G46</f>
        <v>0</v>
      </c>
    </row>
    <row r="47" spans="1:11" x14ac:dyDescent="0.25">
      <c r="A47" s="265" t="s">
        <v>30</v>
      </c>
      <c r="B47" s="266" t="s">
        <v>7</v>
      </c>
      <c r="C47" s="267" t="s">
        <v>60</v>
      </c>
      <c r="D47" s="268" t="s">
        <v>24</v>
      </c>
      <c r="E47" s="269">
        <v>2</v>
      </c>
      <c r="F47" s="270"/>
      <c r="G47" s="271">
        <v>0</v>
      </c>
      <c r="H47" s="272"/>
      <c r="I47" s="271">
        <f>E47*G47</f>
        <v>0</v>
      </c>
    </row>
    <row r="48" spans="1:11" ht="25.5" x14ac:dyDescent="0.25">
      <c r="A48" s="273" t="s">
        <v>25</v>
      </c>
      <c r="B48" s="274" t="s">
        <v>11</v>
      </c>
      <c r="C48" s="275" t="s">
        <v>61</v>
      </c>
      <c r="D48" s="276" t="s">
        <v>24</v>
      </c>
      <c r="E48" s="277">
        <v>2</v>
      </c>
      <c r="F48" s="152">
        <v>0</v>
      </c>
      <c r="G48" s="278"/>
      <c r="H48" s="279">
        <f>E48*F48</f>
        <v>0</v>
      </c>
      <c r="I48" s="278"/>
    </row>
    <row r="49" spans="1:13" ht="15.75" thickBot="1" x14ac:dyDescent="0.3">
      <c r="A49" s="280" t="s">
        <v>35</v>
      </c>
      <c r="B49" s="281" t="s">
        <v>7</v>
      </c>
      <c r="C49" s="282" t="s">
        <v>172</v>
      </c>
      <c r="D49" s="283" t="s">
        <v>24</v>
      </c>
      <c r="E49" s="284">
        <v>2</v>
      </c>
      <c r="F49" s="285"/>
      <c r="G49" s="137">
        <v>0</v>
      </c>
      <c r="H49" s="286"/>
      <c r="I49" s="137">
        <f>E49*G49</f>
        <v>0</v>
      </c>
    </row>
    <row r="50" spans="1:13" ht="15.75" thickBot="1" x14ac:dyDescent="0.3">
      <c r="A50" s="287"/>
      <c r="B50" s="287"/>
      <c r="C50" s="417" t="s">
        <v>16</v>
      </c>
      <c r="D50" s="417"/>
      <c r="E50" s="418"/>
      <c r="F50" s="288"/>
      <c r="G50" s="289"/>
      <c r="H50" s="290">
        <f>SUM(H42:H49)</f>
        <v>0</v>
      </c>
      <c r="I50" s="291">
        <f>SUM(I41:I49)</f>
        <v>0</v>
      </c>
    </row>
    <row r="51" spans="1:13" ht="15.75" thickBot="1" x14ac:dyDescent="0.3">
      <c r="A51" s="292"/>
      <c r="B51" s="292"/>
      <c r="C51" s="417" t="s">
        <v>17</v>
      </c>
      <c r="D51" s="417"/>
      <c r="E51" s="418"/>
      <c r="F51" s="288"/>
      <c r="G51" s="289"/>
      <c r="H51" s="293"/>
      <c r="I51" s="291">
        <f>H50+I50</f>
        <v>0</v>
      </c>
    </row>
    <row r="52" spans="1:13" ht="15.75" thickBot="1" x14ac:dyDescent="0.3">
      <c r="A52" s="237"/>
      <c r="B52" s="238"/>
      <c r="C52" s="408" t="s">
        <v>131</v>
      </c>
      <c r="D52" s="408"/>
      <c r="E52" s="408"/>
      <c r="F52" s="408"/>
      <c r="G52" s="294"/>
      <c r="H52" s="294"/>
      <c r="I52" s="295"/>
    </row>
    <row r="53" spans="1:13" ht="25.5" x14ac:dyDescent="0.25">
      <c r="A53" s="173" t="s">
        <v>18</v>
      </c>
      <c r="B53" s="169" t="s">
        <v>7</v>
      </c>
      <c r="C53" s="170" t="s">
        <v>63</v>
      </c>
      <c r="D53" s="185" t="s">
        <v>8</v>
      </c>
      <c r="E53" s="186">
        <f>0.31*3+0.106*2</f>
        <v>1.1419999999999999</v>
      </c>
      <c r="F53" s="187"/>
      <c r="G53" s="188">
        <v>0</v>
      </c>
      <c r="H53" s="174"/>
      <c r="I53" s="164">
        <f>E53*G53</f>
        <v>0</v>
      </c>
    </row>
    <row r="54" spans="1:13" ht="43.5" customHeight="1" x14ac:dyDescent="0.25">
      <c r="A54" s="171" t="s">
        <v>20</v>
      </c>
      <c r="B54" s="159" t="s">
        <v>11</v>
      </c>
      <c r="C54" s="160" t="s">
        <v>64</v>
      </c>
      <c r="D54" s="161" t="s">
        <v>8</v>
      </c>
      <c r="E54" s="189">
        <f>1.25*E53</f>
        <v>1.4274999999999998</v>
      </c>
      <c r="F54" s="190">
        <v>0</v>
      </c>
      <c r="G54" s="183"/>
      <c r="H54" s="163">
        <f>E54*F54</f>
        <v>0</v>
      </c>
      <c r="I54" s="172"/>
    </row>
    <row r="55" spans="1:13" ht="51" x14ac:dyDescent="0.25">
      <c r="A55" s="106" t="s">
        <v>21</v>
      </c>
      <c r="B55" s="107" t="s">
        <v>7</v>
      </c>
      <c r="C55" s="165" t="s">
        <v>214</v>
      </c>
      <c r="D55" s="109" t="s">
        <v>8</v>
      </c>
      <c r="E55" s="166">
        <v>6.57</v>
      </c>
      <c r="F55" s="176"/>
      <c r="G55" s="182">
        <v>0</v>
      </c>
      <c r="H55" s="111"/>
      <c r="I55" s="114">
        <f>E55*G55</f>
        <v>0</v>
      </c>
      <c r="K55" s="40">
        <f>K56+K57+K58+K59+K60</f>
        <v>4.7300000000000004</v>
      </c>
      <c r="L55" s="40">
        <f>0.65*2+0.54</f>
        <v>1.84</v>
      </c>
      <c r="M55" s="40">
        <f>K55+L55</f>
        <v>6.57</v>
      </c>
    </row>
    <row r="56" spans="1:13" x14ac:dyDescent="0.25">
      <c r="A56" s="171" t="s">
        <v>29</v>
      </c>
      <c r="B56" s="159" t="s">
        <v>11</v>
      </c>
      <c r="C56" s="160" t="s">
        <v>75</v>
      </c>
      <c r="D56" s="161" t="s">
        <v>24</v>
      </c>
      <c r="E56" s="162">
        <v>3</v>
      </c>
      <c r="F56" s="177">
        <v>0</v>
      </c>
      <c r="G56" s="183"/>
      <c r="H56" s="163">
        <f t="shared" ref="H56:H63" si="3">E56*F56</f>
        <v>0</v>
      </c>
      <c r="I56" s="172"/>
      <c r="K56" s="40">
        <f>E56*0.38</f>
        <v>1.1400000000000001</v>
      </c>
    </row>
    <row r="57" spans="1:13" ht="25.5" x14ac:dyDescent="0.25">
      <c r="A57" s="171" t="s">
        <v>58</v>
      </c>
      <c r="B57" s="159" t="s">
        <v>11</v>
      </c>
      <c r="C57" s="160" t="s">
        <v>76</v>
      </c>
      <c r="D57" s="161" t="s">
        <v>24</v>
      </c>
      <c r="E57" s="162">
        <v>4</v>
      </c>
      <c r="F57" s="177">
        <v>0</v>
      </c>
      <c r="G57" s="183"/>
      <c r="H57" s="163">
        <f t="shared" si="3"/>
        <v>0</v>
      </c>
      <c r="I57" s="172"/>
      <c r="K57" s="40">
        <f>0.265*E57</f>
        <v>1.06</v>
      </c>
    </row>
    <row r="58" spans="1:13" ht="25.5" x14ac:dyDescent="0.25">
      <c r="A58" s="171" t="s">
        <v>77</v>
      </c>
      <c r="B58" s="159" t="s">
        <v>11</v>
      </c>
      <c r="C58" s="160" t="s">
        <v>78</v>
      </c>
      <c r="D58" s="161" t="s">
        <v>24</v>
      </c>
      <c r="E58" s="162">
        <v>4</v>
      </c>
      <c r="F58" s="177">
        <v>0</v>
      </c>
      <c r="G58" s="183"/>
      <c r="H58" s="163">
        <f t="shared" si="3"/>
        <v>0</v>
      </c>
      <c r="I58" s="172"/>
      <c r="K58" s="40">
        <f>0.4*E58</f>
        <v>1.6</v>
      </c>
    </row>
    <row r="59" spans="1:13" ht="24" customHeight="1" x14ac:dyDescent="0.25">
      <c r="A59" s="171" t="s">
        <v>79</v>
      </c>
      <c r="B59" s="159" t="s">
        <v>11</v>
      </c>
      <c r="C59" s="160" t="s">
        <v>80</v>
      </c>
      <c r="D59" s="161" t="s">
        <v>24</v>
      </c>
      <c r="E59" s="162">
        <v>3</v>
      </c>
      <c r="F59" s="177">
        <v>0</v>
      </c>
      <c r="G59" s="183"/>
      <c r="H59" s="163">
        <f t="shared" si="3"/>
        <v>0</v>
      </c>
      <c r="I59" s="172"/>
      <c r="K59" s="40">
        <f>0.27*E59</f>
        <v>0.81</v>
      </c>
    </row>
    <row r="60" spans="1:13" x14ac:dyDescent="0.25">
      <c r="A60" s="171" t="s">
        <v>82</v>
      </c>
      <c r="B60" s="159" t="s">
        <v>11</v>
      </c>
      <c r="C60" s="155" t="s">
        <v>72</v>
      </c>
      <c r="D60" s="157" t="s">
        <v>24</v>
      </c>
      <c r="E60" s="158">
        <v>6</v>
      </c>
      <c r="F60" s="177">
        <v>0</v>
      </c>
      <c r="G60" s="181"/>
      <c r="H60" s="163">
        <f t="shared" si="3"/>
        <v>0</v>
      </c>
      <c r="I60" s="129"/>
      <c r="K60" s="40">
        <f>0.02*E60</f>
        <v>0.12</v>
      </c>
    </row>
    <row r="61" spans="1:13" x14ac:dyDescent="0.25">
      <c r="A61" s="171" t="s">
        <v>111</v>
      </c>
      <c r="B61" s="159" t="s">
        <v>11</v>
      </c>
      <c r="C61" s="155" t="s">
        <v>91</v>
      </c>
      <c r="D61" s="157" t="s">
        <v>24</v>
      </c>
      <c r="E61" s="158">
        <v>1</v>
      </c>
      <c r="F61" s="177">
        <v>0</v>
      </c>
      <c r="G61" s="181"/>
      <c r="H61" s="163">
        <f t="shared" si="3"/>
        <v>0</v>
      </c>
      <c r="I61" s="129"/>
    </row>
    <row r="62" spans="1:13" x14ac:dyDescent="0.25">
      <c r="A62" s="171" t="s">
        <v>112</v>
      </c>
      <c r="B62" s="159" t="s">
        <v>11</v>
      </c>
      <c r="C62" s="155" t="s">
        <v>121</v>
      </c>
      <c r="D62" s="157" t="s">
        <v>24</v>
      </c>
      <c r="E62" s="158">
        <v>2</v>
      </c>
      <c r="F62" s="177">
        <v>0</v>
      </c>
      <c r="G62" s="181"/>
      <c r="H62" s="163">
        <f t="shared" si="3"/>
        <v>0</v>
      </c>
      <c r="I62" s="129"/>
    </row>
    <row r="63" spans="1:13" x14ac:dyDescent="0.25">
      <c r="A63" s="171" t="s">
        <v>113</v>
      </c>
      <c r="B63" s="159" t="s">
        <v>11</v>
      </c>
      <c r="C63" s="155" t="s">
        <v>74</v>
      </c>
      <c r="D63" s="157" t="s">
        <v>24</v>
      </c>
      <c r="E63" s="158">
        <v>6</v>
      </c>
      <c r="F63" s="177">
        <v>0</v>
      </c>
      <c r="G63" s="181"/>
      <c r="H63" s="163">
        <f t="shared" si="3"/>
        <v>0</v>
      </c>
      <c r="I63" s="129"/>
    </row>
    <row r="64" spans="1:13" ht="71.25" customHeight="1" x14ac:dyDescent="0.25">
      <c r="A64" s="106" t="s">
        <v>30</v>
      </c>
      <c r="B64" s="107" t="s">
        <v>7</v>
      </c>
      <c r="C64" s="165" t="s">
        <v>213</v>
      </c>
      <c r="D64" s="109" t="s">
        <v>8</v>
      </c>
      <c r="E64" s="166">
        <v>1.02</v>
      </c>
      <c r="F64" s="179"/>
      <c r="G64" s="182">
        <v>0</v>
      </c>
      <c r="H64" s="111"/>
      <c r="I64" s="114">
        <f>E64*G64</f>
        <v>0</v>
      </c>
      <c r="K64" s="40">
        <f>K65+K66+K67+K68+K69</f>
        <v>1.02</v>
      </c>
      <c r="L64" s="40">
        <v>0</v>
      </c>
    </row>
    <row r="65" spans="1:16" x14ac:dyDescent="0.25">
      <c r="A65" s="125" t="s">
        <v>25</v>
      </c>
      <c r="B65" s="126" t="s">
        <v>11</v>
      </c>
      <c r="C65" s="155" t="s">
        <v>65</v>
      </c>
      <c r="D65" s="157" t="s">
        <v>24</v>
      </c>
      <c r="E65" s="158">
        <v>2</v>
      </c>
      <c r="F65" s="175">
        <v>0</v>
      </c>
      <c r="G65" s="182"/>
      <c r="H65" s="128">
        <f t="shared" ref="H65:H72" si="4">E65*F65</f>
        <v>0</v>
      </c>
      <c r="I65" s="114"/>
      <c r="K65" s="40">
        <f>E65*0.18</f>
        <v>0.36</v>
      </c>
    </row>
    <row r="66" spans="1:16" ht="25.5" x14ac:dyDescent="0.25">
      <c r="A66" s="125" t="s">
        <v>26</v>
      </c>
      <c r="B66" s="159" t="s">
        <v>11</v>
      </c>
      <c r="C66" s="160" t="s">
        <v>68</v>
      </c>
      <c r="D66" s="157" t="s">
        <v>24</v>
      </c>
      <c r="E66" s="158">
        <v>3</v>
      </c>
      <c r="F66" s="175">
        <v>0</v>
      </c>
      <c r="G66" s="182"/>
      <c r="H66" s="128">
        <f t="shared" si="4"/>
        <v>0</v>
      </c>
      <c r="I66" s="114"/>
      <c r="K66" s="40">
        <v>0.16</v>
      </c>
    </row>
    <row r="67" spans="1:16" ht="25.5" x14ac:dyDescent="0.25">
      <c r="A67" s="125" t="s">
        <v>32</v>
      </c>
      <c r="B67" s="159" t="s">
        <v>11</v>
      </c>
      <c r="C67" s="160" t="s">
        <v>136</v>
      </c>
      <c r="D67" s="157" t="s">
        <v>24</v>
      </c>
      <c r="E67" s="158">
        <v>1</v>
      </c>
      <c r="F67" s="175">
        <v>0</v>
      </c>
      <c r="G67" s="182"/>
      <c r="H67" s="128">
        <f t="shared" si="4"/>
        <v>0</v>
      </c>
      <c r="I67" s="114"/>
      <c r="K67" s="40">
        <f>0.24*E67</f>
        <v>0.24</v>
      </c>
    </row>
    <row r="68" spans="1:16" x14ac:dyDescent="0.25">
      <c r="A68" s="125" t="s">
        <v>34</v>
      </c>
      <c r="B68" s="159" t="s">
        <v>11</v>
      </c>
      <c r="C68" s="160" t="s">
        <v>70</v>
      </c>
      <c r="D68" s="157" t="s">
        <v>24</v>
      </c>
      <c r="E68" s="158">
        <v>2</v>
      </c>
      <c r="F68" s="175">
        <v>0</v>
      </c>
      <c r="G68" s="182"/>
      <c r="H68" s="128">
        <f t="shared" si="4"/>
        <v>0</v>
      </c>
      <c r="I68" s="114"/>
      <c r="K68" s="40">
        <f>E68*0.1</f>
        <v>0.2</v>
      </c>
    </row>
    <row r="69" spans="1:16" x14ac:dyDescent="0.25">
      <c r="A69" s="125" t="s">
        <v>107</v>
      </c>
      <c r="B69" s="126" t="s">
        <v>11</v>
      </c>
      <c r="C69" s="155" t="s">
        <v>72</v>
      </c>
      <c r="D69" s="157" t="s">
        <v>24</v>
      </c>
      <c r="E69" s="158">
        <v>5</v>
      </c>
      <c r="F69" s="175">
        <v>0</v>
      </c>
      <c r="G69" s="182"/>
      <c r="H69" s="128">
        <f t="shared" si="4"/>
        <v>0</v>
      </c>
      <c r="I69" s="114"/>
      <c r="K69" s="40">
        <f>0.02*3</f>
        <v>0.06</v>
      </c>
    </row>
    <row r="70" spans="1:16" x14ac:dyDescent="0.25">
      <c r="A70" s="125" t="s">
        <v>108</v>
      </c>
      <c r="B70" s="126" t="s">
        <v>11</v>
      </c>
      <c r="C70" s="160" t="s">
        <v>90</v>
      </c>
      <c r="D70" s="161" t="s">
        <v>24</v>
      </c>
      <c r="E70" s="162">
        <v>1</v>
      </c>
      <c r="F70" s="177">
        <v>0</v>
      </c>
      <c r="G70" s="184"/>
      <c r="H70" s="163">
        <f t="shared" ref="H70" si="5">E70*F70</f>
        <v>0</v>
      </c>
      <c r="I70" s="164"/>
    </row>
    <row r="71" spans="1:16" x14ac:dyDescent="0.25">
      <c r="A71" s="125" t="s">
        <v>108</v>
      </c>
      <c r="B71" s="126" t="s">
        <v>11</v>
      </c>
      <c r="C71" s="160" t="s">
        <v>92</v>
      </c>
      <c r="D71" s="161" t="s">
        <v>24</v>
      </c>
      <c r="E71" s="162">
        <v>1</v>
      </c>
      <c r="F71" s="177">
        <v>0</v>
      </c>
      <c r="G71" s="184"/>
      <c r="H71" s="163">
        <f t="shared" si="4"/>
        <v>0</v>
      </c>
      <c r="I71" s="164"/>
    </row>
    <row r="72" spans="1:16" x14ac:dyDescent="0.25">
      <c r="A72" s="125" t="s">
        <v>109</v>
      </c>
      <c r="B72" s="126" t="s">
        <v>11</v>
      </c>
      <c r="C72" s="160" t="s">
        <v>105</v>
      </c>
      <c r="D72" s="161" t="s">
        <v>24</v>
      </c>
      <c r="E72" s="162">
        <v>5</v>
      </c>
      <c r="F72" s="177">
        <v>0</v>
      </c>
      <c r="G72" s="184"/>
      <c r="H72" s="163">
        <f t="shared" si="4"/>
        <v>0</v>
      </c>
      <c r="I72" s="164"/>
    </row>
    <row r="73" spans="1:16" ht="38.25" x14ac:dyDescent="0.25">
      <c r="A73" s="173" t="s">
        <v>35</v>
      </c>
      <c r="B73" s="169" t="s">
        <v>7</v>
      </c>
      <c r="C73" s="170" t="s">
        <v>181</v>
      </c>
      <c r="D73" s="185" t="s">
        <v>8</v>
      </c>
      <c r="E73" s="191">
        <f>0.85*E74</f>
        <v>1.7</v>
      </c>
      <c r="F73" s="178"/>
      <c r="G73" s="184">
        <v>0</v>
      </c>
      <c r="H73" s="174"/>
      <c r="I73" s="164">
        <f>E73*G73</f>
        <v>0</v>
      </c>
    </row>
    <row r="74" spans="1:16" x14ac:dyDescent="0.25">
      <c r="A74" s="171" t="s">
        <v>27</v>
      </c>
      <c r="B74" s="159" t="s">
        <v>11</v>
      </c>
      <c r="C74" s="160" t="s">
        <v>182</v>
      </c>
      <c r="D74" s="161" t="s">
        <v>24</v>
      </c>
      <c r="E74" s="162">
        <v>2</v>
      </c>
      <c r="F74" s="177">
        <v>0</v>
      </c>
      <c r="G74" s="184"/>
      <c r="H74" s="163">
        <f>E74*F74</f>
        <v>0</v>
      </c>
      <c r="I74" s="164"/>
    </row>
    <row r="75" spans="1:16" x14ac:dyDescent="0.25">
      <c r="A75" s="173" t="s">
        <v>36</v>
      </c>
      <c r="B75" s="169" t="s">
        <v>7</v>
      </c>
      <c r="C75" s="170" t="s">
        <v>83</v>
      </c>
      <c r="D75" s="185" t="s">
        <v>24</v>
      </c>
      <c r="E75" s="191">
        <f>E76+E77</f>
        <v>5</v>
      </c>
      <c r="F75" s="177"/>
      <c r="G75" s="184">
        <v>0</v>
      </c>
      <c r="H75" s="174"/>
      <c r="I75" s="164">
        <f>E75*G75</f>
        <v>0</v>
      </c>
    </row>
    <row r="76" spans="1:16" ht="25.5" x14ac:dyDescent="0.25">
      <c r="A76" s="125" t="s">
        <v>189</v>
      </c>
      <c r="B76" s="126" t="s">
        <v>11</v>
      </c>
      <c r="C76" s="155" t="s">
        <v>104</v>
      </c>
      <c r="D76" s="157" t="s">
        <v>24</v>
      </c>
      <c r="E76" s="158">
        <v>3</v>
      </c>
      <c r="F76" s="180">
        <v>0</v>
      </c>
      <c r="G76" s="181"/>
      <c r="H76" s="128">
        <f>E76*F76</f>
        <v>0</v>
      </c>
      <c r="I76" s="129"/>
    </row>
    <row r="77" spans="1:16" ht="25.5" x14ac:dyDescent="0.25">
      <c r="A77" s="125" t="s">
        <v>33</v>
      </c>
      <c r="B77" s="126" t="s">
        <v>11</v>
      </c>
      <c r="C77" s="127" t="s">
        <v>103</v>
      </c>
      <c r="D77" s="167" t="s">
        <v>24</v>
      </c>
      <c r="E77" s="168">
        <v>2</v>
      </c>
      <c r="F77" s="180">
        <v>0</v>
      </c>
      <c r="G77" s="181"/>
      <c r="H77" s="128">
        <f>E77*F77</f>
        <v>0</v>
      </c>
      <c r="I77" s="129"/>
    </row>
    <row r="78" spans="1:16" s="36" customFormat="1" ht="25.5" x14ac:dyDescent="0.25">
      <c r="A78" s="192" t="s">
        <v>37</v>
      </c>
      <c r="B78" s="192" t="s">
        <v>7</v>
      </c>
      <c r="C78" s="165" t="s">
        <v>118</v>
      </c>
      <c r="D78" s="109" t="s">
        <v>19</v>
      </c>
      <c r="E78" s="193">
        <f>E43</f>
        <v>14.42</v>
      </c>
      <c r="F78" s="187"/>
      <c r="G78" s="184">
        <v>0</v>
      </c>
      <c r="H78" s="194"/>
      <c r="I78" s="195">
        <f>E78*G78</f>
        <v>0</v>
      </c>
      <c r="J78" s="34"/>
      <c r="K78" s="305"/>
      <c r="L78" s="305"/>
      <c r="M78" s="305"/>
      <c r="N78" s="305"/>
      <c r="O78" s="305"/>
      <c r="P78" s="305"/>
    </row>
    <row r="79" spans="1:16" s="36" customFormat="1" ht="25.5" x14ac:dyDescent="0.25">
      <c r="A79" s="192" t="s">
        <v>38</v>
      </c>
      <c r="B79" s="192" t="s">
        <v>7</v>
      </c>
      <c r="C79" s="165" t="s">
        <v>119</v>
      </c>
      <c r="D79" s="109" t="s">
        <v>19</v>
      </c>
      <c r="E79" s="193">
        <f>E32+E35</f>
        <v>48.05</v>
      </c>
      <c r="F79" s="176"/>
      <c r="G79" s="182">
        <v>0</v>
      </c>
      <c r="H79" s="196"/>
      <c r="I79" s="112">
        <f>E79*G79</f>
        <v>0</v>
      </c>
      <c r="J79" s="34"/>
      <c r="K79" s="305"/>
      <c r="L79" s="305"/>
      <c r="M79" s="305"/>
      <c r="N79" s="305"/>
      <c r="O79" s="305"/>
      <c r="P79" s="305"/>
    </row>
    <row r="80" spans="1:16" s="36" customFormat="1" ht="26.25" thickBot="1" x14ac:dyDescent="0.3">
      <c r="A80" s="197" t="s">
        <v>46</v>
      </c>
      <c r="B80" s="197" t="s">
        <v>7</v>
      </c>
      <c r="C80" s="198" t="s">
        <v>85</v>
      </c>
      <c r="D80" s="199" t="s">
        <v>19</v>
      </c>
      <c r="E80" s="200">
        <f>E78+E79</f>
        <v>62.47</v>
      </c>
      <c r="F80" s="201"/>
      <c r="G80" s="202">
        <v>0</v>
      </c>
      <c r="H80" s="203"/>
      <c r="I80" s="204">
        <f>E80*G80</f>
        <v>0</v>
      </c>
      <c r="J80" s="34"/>
      <c r="K80" s="305"/>
      <c r="L80" s="305"/>
      <c r="M80" s="305"/>
      <c r="N80" s="305"/>
      <c r="O80" s="305"/>
      <c r="P80" s="305"/>
    </row>
    <row r="81" spans="1:16" s="36" customFormat="1" x14ac:dyDescent="0.25">
      <c r="A81" s="117"/>
      <c r="B81" s="205"/>
      <c r="C81" s="206" t="s">
        <v>16</v>
      </c>
      <c r="D81" s="120"/>
      <c r="E81" s="120"/>
      <c r="F81" s="207"/>
      <c r="G81" s="188"/>
      <c r="H81" s="208">
        <f>SUM(H53:H80)</f>
        <v>0</v>
      </c>
      <c r="I81" s="209">
        <f>SUM(I53:I80)</f>
        <v>0</v>
      </c>
      <c r="J81" s="34"/>
      <c r="K81" s="305"/>
      <c r="L81" s="305"/>
      <c r="M81" s="305"/>
      <c r="N81" s="305"/>
      <c r="O81" s="305"/>
      <c r="P81" s="305"/>
    </row>
    <row r="82" spans="1:16" s="36" customFormat="1" thickBot="1" x14ac:dyDescent="0.3">
      <c r="A82" s="210"/>
      <c r="B82" s="211"/>
      <c r="C82" s="212" t="s">
        <v>17</v>
      </c>
      <c r="D82" s="213"/>
      <c r="E82" s="214"/>
      <c r="F82" s="215"/>
      <c r="G82" s="216"/>
      <c r="H82" s="217"/>
      <c r="I82" s="218">
        <f>H81+I81</f>
        <v>0</v>
      </c>
      <c r="J82" s="34"/>
      <c r="K82" s="305"/>
      <c r="L82" s="305"/>
      <c r="M82" s="305"/>
      <c r="N82" s="305"/>
      <c r="O82" s="305"/>
      <c r="P82" s="305"/>
    </row>
    <row r="83" spans="1:16" s="87" customFormat="1" ht="21" thickBot="1" x14ac:dyDescent="0.3">
      <c r="A83" s="79"/>
      <c r="B83" s="80"/>
      <c r="C83" s="81" t="s">
        <v>152</v>
      </c>
      <c r="D83" s="82"/>
      <c r="E83" s="83"/>
      <c r="F83" s="84"/>
      <c r="G83" s="85"/>
      <c r="H83" s="86"/>
      <c r="I83" s="86">
        <f>I30+I39+I51+I82</f>
        <v>0</v>
      </c>
      <c r="J83" s="308"/>
      <c r="K83" s="306"/>
      <c r="L83" s="306"/>
      <c r="M83" s="306"/>
      <c r="N83" s="306"/>
      <c r="O83" s="306"/>
      <c r="P83" s="306"/>
    </row>
    <row r="84" spans="1:16" ht="15.75" thickBot="1" x14ac:dyDescent="0.3">
      <c r="A84" s="88"/>
      <c r="B84" s="89"/>
      <c r="C84" s="90" t="s">
        <v>86</v>
      </c>
      <c r="D84" s="6"/>
      <c r="E84" s="6"/>
      <c r="F84" s="91"/>
      <c r="G84" s="91"/>
      <c r="H84" s="91"/>
      <c r="I84" s="27">
        <f>I83/1.2*20%</f>
        <v>0</v>
      </c>
    </row>
    <row r="85" spans="1:16" s="34" customFormat="1" ht="15.75" x14ac:dyDescent="0.25">
      <c r="A85" s="92"/>
      <c r="B85" s="93"/>
      <c r="F85" s="220"/>
      <c r="G85" s="220"/>
      <c r="H85" s="32">
        <f>H29+H38+H50+H81</f>
        <v>0</v>
      </c>
      <c r="I85" s="32">
        <f>I29+I38+I50+I81</f>
        <v>0</v>
      </c>
      <c r="K85" s="305"/>
      <c r="L85" s="305"/>
      <c r="M85" s="305"/>
      <c r="N85" s="305"/>
      <c r="O85" s="305"/>
      <c r="P85" s="305"/>
    </row>
    <row r="87" spans="1:16" x14ac:dyDescent="0.25">
      <c r="E87" s="2"/>
    </row>
  </sheetData>
  <mergeCells count="21">
    <mergeCell ref="O25:P25"/>
    <mergeCell ref="A31:I31"/>
    <mergeCell ref="A40:I40"/>
    <mergeCell ref="C50:E50"/>
    <mergeCell ref="C51:E51"/>
    <mergeCell ref="C52:F52"/>
    <mergeCell ref="A12:B12"/>
    <mergeCell ref="C12:I12"/>
    <mergeCell ref="A14:A15"/>
    <mergeCell ref="B14:B15"/>
    <mergeCell ref="C14:C15"/>
    <mergeCell ref="D14:D15"/>
    <mergeCell ref="E14:E15"/>
    <mergeCell ref="F14:G14"/>
    <mergeCell ref="H14:I14"/>
    <mergeCell ref="A9:I10"/>
    <mergeCell ref="G1:I1"/>
    <mergeCell ref="A2:C2"/>
    <mergeCell ref="F2:I2"/>
    <mergeCell ref="C5:H5"/>
    <mergeCell ref="C6:H6"/>
  </mergeCells>
  <pageMargins left="0.70866141732283461" right="0.19685039370078741" top="0.74803149606299213" bottom="0.74803149606299213" header="0" footer="0.31496062992125984"/>
  <pageSetup paperSize="9" scale="67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3D0A1-ADE3-4E53-A921-0ADEF7AF56EE}">
  <dimension ref="A1:P111"/>
  <sheetViews>
    <sheetView view="pageBreakPreview" topLeftCell="A25" zoomScaleNormal="100" zoomScaleSheetLayoutView="100" workbookViewId="0">
      <selection activeCell="A3" sqref="A3"/>
    </sheetView>
  </sheetViews>
  <sheetFormatPr defaultRowHeight="15" x14ac:dyDescent="0.25"/>
  <cols>
    <col min="1" max="1" width="6" style="38" customWidth="1"/>
    <col min="2" max="2" width="15.28515625" style="39" customWidth="1"/>
    <col min="3" max="3" width="35.140625" style="1" customWidth="1"/>
    <col min="4" max="4" width="7" style="1" customWidth="1"/>
    <col min="5" max="5" width="9.140625" style="1"/>
    <col min="6" max="9" width="16.7109375" style="2" customWidth="1"/>
    <col min="10" max="10" width="9.140625" style="31"/>
    <col min="11" max="16" width="9.140625" style="40"/>
    <col min="17" max="251" width="9.140625" style="1"/>
    <col min="252" max="252" width="6" style="1" customWidth="1"/>
    <col min="253" max="253" width="35.85546875" style="1" customWidth="1"/>
    <col min="254" max="254" width="5.140625" style="1" customWidth="1"/>
    <col min="255" max="260" width="9.140625" style="1"/>
    <col min="261" max="261" width="13.7109375" style="1" customWidth="1"/>
    <col min="262" max="265" width="16.7109375" style="1" customWidth="1"/>
    <col min="266" max="507" width="9.140625" style="1"/>
    <col min="508" max="508" width="6" style="1" customWidth="1"/>
    <col min="509" max="509" width="35.85546875" style="1" customWidth="1"/>
    <col min="510" max="510" width="5.140625" style="1" customWidth="1"/>
    <col min="511" max="516" width="9.140625" style="1"/>
    <col min="517" max="517" width="13.7109375" style="1" customWidth="1"/>
    <col min="518" max="521" width="16.7109375" style="1" customWidth="1"/>
    <col min="522" max="763" width="9.140625" style="1"/>
    <col min="764" max="764" width="6" style="1" customWidth="1"/>
    <col min="765" max="765" width="35.85546875" style="1" customWidth="1"/>
    <col min="766" max="766" width="5.140625" style="1" customWidth="1"/>
    <col min="767" max="772" width="9.140625" style="1"/>
    <col min="773" max="773" width="13.7109375" style="1" customWidth="1"/>
    <col min="774" max="777" width="16.7109375" style="1" customWidth="1"/>
    <col min="778" max="1019" width="9.140625" style="1"/>
    <col min="1020" max="1020" width="6" style="1" customWidth="1"/>
    <col min="1021" max="1021" width="35.85546875" style="1" customWidth="1"/>
    <col min="1022" max="1022" width="5.140625" style="1" customWidth="1"/>
    <col min="1023" max="1028" width="9.140625" style="1"/>
    <col min="1029" max="1029" width="13.7109375" style="1" customWidth="1"/>
    <col min="1030" max="1033" width="16.7109375" style="1" customWidth="1"/>
    <col min="1034" max="1275" width="9.140625" style="1"/>
    <col min="1276" max="1276" width="6" style="1" customWidth="1"/>
    <col min="1277" max="1277" width="35.85546875" style="1" customWidth="1"/>
    <col min="1278" max="1278" width="5.140625" style="1" customWidth="1"/>
    <col min="1279" max="1284" width="9.140625" style="1"/>
    <col min="1285" max="1285" width="13.7109375" style="1" customWidth="1"/>
    <col min="1286" max="1289" width="16.7109375" style="1" customWidth="1"/>
    <col min="1290" max="1531" width="9.140625" style="1"/>
    <col min="1532" max="1532" width="6" style="1" customWidth="1"/>
    <col min="1533" max="1533" width="35.85546875" style="1" customWidth="1"/>
    <col min="1534" max="1534" width="5.140625" style="1" customWidth="1"/>
    <col min="1535" max="1540" width="9.140625" style="1"/>
    <col min="1541" max="1541" width="13.7109375" style="1" customWidth="1"/>
    <col min="1542" max="1545" width="16.7109375" style="1" customWidth="1"/>
    <col min="1546" max="1787" width="9.140625" style="1"/>
    <col min="1788" max="1788" width="6" style="1" customWidth="1"/>
    <col min="1789" max="1789" width="35.85546875" style="1" customWidth="1"/>
    <col min="1790" max="1790" width="5.140625" style="1" customWidth="1"/>
    <col min="1791" max="1796" width="9.140625" style="1"/>
    <col min="1797" max="1797" width="13.7109375" style="1" customWidth="1"/>
    <col min="1798" max="1801" width="16.7109375" style="1" customWidth="1"/>
    <col min="1802" max="2043" width="9.140625" style="1"/>
    <col min="2044" max="2044" width="6" style="1" customWidth="1"/>
    <col min="2045" max="2045" width="35.85546875" style="1" customWidth="1"/>
    <col min="2046" max="2046" width="5.140625" style="1" customWidth="1"/>
    <col min="2047" max="2052" width="9.140625" style="1"/>
    <col min="2053" max="2053" width="13.7109375" style="1" customWidth="1"/>
    <col min="2054" max="2057" width="16.7109375" style="1" customWidth="1"/>
    <col min="2058" max="2299" width="9.140625" style="1"/>
    <col min="2300" max="2300" width="6" style="1" customWidth="1"/>
    <col min="2301" max="2301" width="35.85546875" style="1" customWidth="1"/>
    <col min="2302" max="2302" width="5.140625" style="1" customWidth="1"/>
    <col min="2303" max="2308" width="9.140625" style="1"/>
    <col min="2309" max="2309" width="13.7109375" style="1" customWidth="1"/>
    <col min="2310" max="2313" width="16.7109375" style="1" customWidth="1"/>
    <col min="2314" max="2555" width="9.140625" style="1"/>
    <col min="2556" max="2556" width="6" style="1" customWidth="1"/>
    <col min="2557" max="2557" width="35.85546875" style="1" customWidth="1"/>
    <col min="2558" max="2558" width="5.140625" style="1" customWidth="1"/>
    <col min="2559" max="2564" width="9.140625" style="1"/>
    <col min="2565" max="2565" width="13.7109375" style="1" customWidth="1"/>
    <col min="2566" max="2569" width="16.7109375" style="1" customWidth="1"/>
    <col min="2570" max="2811" width="9.140625" style="1"/>
    <col min="2812" max="2812" width="6" style="1" customWidth="1"/>
    <col min="2813" max="2813" width="35.85546875" style="1" customWidth="1"/>
    <col min="2814" max="2814" width="5.140625" style="1" customWidth="1"/>
    <col min="2815" max="2820" width="9.140625" style="1"/>
    <col min="2821" max="2821" width="13.7109375" style="1" customWidth="1"/>
    <col min="2822" max="2825" width="16.7109375" style="1" customWidth="1"/>
    <col min="2826" max="3067" width="9.140625" style="1"/>
    <col min="3068" max="3068" width="6" style="1" customWidth="1"/>
    <col min="3069" max="3069" width="35.85546875" style="1" customWidth="1"/>
    <col min="3070" max="3070" width="5.140625" style="1" customWidth="1"/>
    <col min="3071" max="3076" width="9.140625" style="1"/>
    <col min="3077" max="3077" width="13.7109375" style="1" customWidth="1"/>
    <col min="3078" max="3081" width="16.7109375" style="1" customWidth="1"/>
    <col min="3082" max="3323" width="9.140625" style="1"/>
    <col min="3324" max="3324" width="6" style="1" customWidth="1"/>
    <col min="3325" max="3325" width="35.85546875" style="1" customWidth="1"/>
    <col min="3326" max="3326" width="5.140625" style="1" customWidth="1"/>
    <col min="3327" max="3332" width="9.140625" style="1"/>
    <col min="3333" max="3333" width="13.7109375" style="1" customWidth="1"/>
    <col min="3334" max="3337" width="16.7109375" style="1" customWidth="1"/>
    <col min="3338" max="3579" width="9.140625" style="1"/>
    <col min="3580" max="3580" width="6" style="1" customWidth="1"/>
    <col min="3581" max="3581" width="35.85546875" style="1" customWidth="1"/>
    <col min="3582" max="3582" width="5.140625" style="1" customWidth="1"/>
    <col min="3583" max="3588" width="9.140625" style="1"/>
    <col min="3589" max="3589" width="13.7109375" style="1" customWidth="1"/>
    <col min="3590" max="3593" width="16.7109375" style="1" customWidth="1"/>
    <col min="3594" max="3835" width="9.140625" style="1"/>
    <col min="3836" max="3836" width="6" style="1" customWidth="1"/>
    <col min="3837" max="3837" width="35.85546875" style="1" customWidth="1"/>
    <col min="3838" max="3838" width="5.140625" style="1" customWidth="1"/>
    <col min="3839" max="3844" width="9.140625" style="1"/>
    <col min="3845" max="3845" width="13.7109375" style="1" customWidth="1"/>
    <col min="3846" max="3849" width="16.7109375" style="1" customWidth="1"/>
    <col min="3850" max="4091" width="9.140625" style="1"/>
    <col min="4092" max="4092" width="6" style="1" customWidth="1"/>
    <col min="4093" max="4093" width="35.85546875" style="1" customWidth="1"/>
    <col min="4094" max="4094" width="5.140625" style="1" customWidth="1"/>
    <col min="4095" max="4100" width="9.140625" style="1"/>
    <col min="4101" max="4101" width="13.7109375" style="1" customWidth="1"/>
    <col min="4102" max="4105" width="16.7109375" style="1" customWidth="1"/>
    <col min="4106" max="4347" width="9.140625" style="1"/>
    <col min="4348" max="4348" width="6" style="1" customWidth="1"/>
    <col min="4349" max="4349" width="35.85546875" style="1" customWidth="1"/>
    <col min="4350" max="4350" width="5.140625" style="1" customWidth="1"/>
    <col min="4351" max="4356" width="9.140625" style="1"/>
    <col min="4357" max="4357" width="13.7109375" style="1" customWidth="1"/>
    <col min="4358" max="4361" width="16.7109375" style="1" customWidth="1"/>
    <col min="4362" max="4603" width="9.140625" style="1"/>
    <col min="4604" max="4604" width="6" style="1" customWidth="1"/>
    <col min="4605" max="4605" width="35.85546875" style="1" customWidth="1"/>
    <col min="4606" max="4606" width="5.140625" style="1" customWidth="1"/>
    <col min="4607" max="4612" width="9.140625" style="1"/>
    <col min="4613" max="4613" width="13.7109375" style="1" customWidth="1"/>
    <col min="4614" max="4617" width="16.7109375" style="1" customWidth="1"/>
    <col min="4618" max="4859" width="9.140625" style="1"/>
    <col min="4860" max="4860" width="6" style="1" customWidth="1"/>
    <col min="4861" max="4861" width="35.85546875" style="1" customWidth="1"/>
    <col min="4862" max="4862" width="5.140625" style="1" customWidth="1"/>
    <col min="4863" max="4868" width="9.140625" style="1"/>
    <col min="4869" max="4869" width="13.7109375" style="1" customWidth="1"/>
    <col min="4870" max="4873" width="16.7109375" style="1" customWidth="1"/>
    <col min="4874" max="5115" width="9.140625" style="1"/>
    <col min="5116" max="5116" width="6" style="1" customWidth="1"/>
    <col min="5117" max="5117" width="35.85546875" style="1" customWidth="1"/>
    <col min="5118" max="5118" width="5.140625" style="1" customWidth="1"/>
    <col min="5119" max="5124" width="9.140625" style="1"/>
    <col min="5125" max="5125" width="13.7109375" style="1" customWidth="1"/>
    <col min="5126" max="5129" width="16.7109375" style="1" customWidth="1"/>
    <col min="5130" max="5371" width="9.140625" style="1"/>
    <col min="5372" max="5372" width="6" style="1" customWidth="1"/>
    <col min="5373" max="5373" width="35.85546875" style="1" customWidth="1"/>
    <col min="5374" max="5374" width="5.140625" style="1" customWidth="1"/>
    <col min="5375" max="5380" width="9.140625" style="1"/>
    <col min="5381" max="5381" width="13.7109375" style="1" customWidth="1"/>
    <col min="5382" max="5385" width="16.7109375" style="1" customWidth="1"/>
    <col min="5386" max="5627" width="9.140625" style="1"/>
    <col min="5628" max="5628" width="6" style="1" customWidth="1"/>
    <col min="5629" max="5629" width="35.85546875" style="1" customWidth="1"/>
    <col min="5630" max="5630" width="5.140625" style="1" customWidth="1"/>
    <col min="5631" max="5636" width="9.140625" style="1"/>
    <col min="5637" max="5637" width="13.7109375" style="1" customWidth="1"/>
    <col min="5638" max="5641" width="16.7109375" style="1" customWidth="1"/>
    <col min="5642" max="5883" width="9.140625" style="1"/>
    <col min="5884" max="5884" width="6" style="1" customWidth="1"/>
    <col min="5885" max="5885" width="35.85546875" style="1" customWidth="1"/>
    <col min="5886" max="5886" width="5.140625" style="1" customWidth="1"/>
    <col min="5887" max="5892" width="9.140625" style="1"/>
    <col min="5893" max="5893" width="13.7109375" style="1" customWidth="1"/>
    <col min="5894" max="5897" width="16.7109375" style="1" customWidth="1"/>
    <col min="5898" max="6139" width="9.140625" style="1"/>
    <col min="6140" max="6140" width="6" style="1" customWidth="1"/>
    <col min="6141" max="6141" width="35.85546875" style="1" customWidth="1"/>
    <col min="6142" max="6142" width="5.140625" style="1" customWidth="1"/>
    <col min="6143" max="6148" width="9.140625" style="1"/>
    <col min="6149" max="6149" width="13.7109375" style="1" customWidth="1"/>
    <col min="6150" max="6153" width="16.7109375" style="1" customWidth="1"/>
    <col min="6154" max="6395" width="9.140625" style="1"/>
    <col min="6396" max="6396" width="6" style="1" customWidth="1"/>
    <col min="6397" max="6397" width="35.85546875" style="1" customWidth="1"/>
    <col min="6398" max="6398" width="5.140625" style="1" customWidth="1"/>
    <col min="6399" max="6404" width="9.140625" style="1"/>
    <col min="6405" max="6405" width="13.7109375" style="1" customWidth="1"/>
    <col min="6406" max="6409" width="16.7109375" style="1" customWidth="1"/>
    <col min="6410" max="6651" width="9.140625" style="1"/>
    <col min="6652" max="6652" width="6" style="1" customWidth="1"/>
    <col min="6653" max="6653" width="35.85546875" style="1" customWidth="1"/>
    <col min="6654" max="6654" width="5.140625" style="1" customWidth="1"/>
    <col min="6655" max="6660" width="9.140625" style="1"/>
    <col min="6661" max="6661" width="13.7109375" style="1" customWidth="1"/>
    <col min="6662" max="6665" width="16.7109375" style="1" customWidth="1"/>
    <col min="6666" max="6907" width="9.140625" style="1"/>
    <col min="6908" max="6908" width="6" style="1" customWidth="1"/>
    <col min="6909" max="6909" width="35.85546875" style="1" customWidth="1"/>
    <col min="6910" max="6910" width="5.140625" style="1" customWidth="1"/>
    <col min="6911" max="6916" width="9.140625" style="1"/>
    <col min="6917" max="6917" width="13.7109375" style="1" customWidth="1"/>
    <col min="6918" max="6921" width="16.7109375" style="1" customWidth="1"/>
    <col min="6922" max="7163" width="9.140625" style="1"/>
    <col min="7164" max="7164" width="6" style="1" customWidth="1"/>
    <col min="7165" max="7165" width="35.85546875" style="1" customWidth="1"/>
    <col min="7166" max="7166" width="5.140625" style="1" customWidth="1"/>
    <col min="7167" max="7172" width="9.140625" style="1"/>
    <col min="7173" max="7173" width="13.7109375" style="1" customWidth="1"/>
    <col min="7174" max="7177" width="16.7109375" style="1" customWidth="1"/>
    <col min="7178" max="7419" width="9.140625" style="1"/>
    <col min="7420" max="7420" width="6" style="1" customWidth="1"/>
    <col min="7421" max="7421" width="35.85546875" style="1" customWidth="1"/>
    <col min="7422" max="7422" width="5.140625" style="1" customWidth="1"/>
    <col min="7423" max="7428" width="9.140625" style="1"/>
    <col min="7429" max="7429" width="13.7109375" style="1" customWidth="1"/>
    <col min="7430" max="7433" width="16.7109375" style="1" customWidth="1"/>
    <col min="7434" max="7675" width="9.140625" style="1"/>
    <col min="7676" max="7676" width="6" style="1" customWidth="1"/>
    <col min="7677" max="7677" width="35.85546875" style="1" customWidth="1"/>
    <col min="7678" max="7678" width="5.140625" style="1" customWidth="1"/>
    <col min="7679" max="7684" width="9.140625" style="1"/>
    <col min="7685" max="7685" width="13.7109375" style="1" customWidth="1"/>
    <col min="7686" max="7689" width="16.7109375" style="1" customWidth="1"/>
    <col min="7690" max="7931" width="9.140625" style="1"/>
    <col min="7932" max="7932" width="6" style="1" customWidth="1"/>
    <col min="7933" max="7933" width="35.85546875" style="1" customWidth="1"/>
    <col min="7934" max="7934" width="5.140625" style="1" customWidth="1"/>
    <col min="7935" max="7940" width="9.140625" style="1"/>
    <col min="7941" max="7941" width="13.7109375" style="1" customWidth="1"/>
    <col min="7942" max="7945" width="16.7109375" style="1" customWidth="1"/>
    <col min="7946" max="8187" width="9.140625" style="1"/>
    <col min="8188" max="8188" width="6" style="1" customWidth="1"/>
    <col min="8189" max="8189" width="35.85546875" style="1" customWidth="1"/>
    <col min="8190" max="8190" width="5.140625" style="1" customWidth="1"/>
    <col min="8191" max="8196" width="9.140625" style="1"/>
    <col min="8197" max="8197" width="13.7109375" style="1" customWidth="1"/>
    <col min="8198" max="8201" width="16.7109375" style="1" customWidth="1"/>
    <col min="8202" max="8443" width="9.140625" style="1"/>
    <col min="8444" max="8444" width="6" style="1" customWidth="1"/>
    <col min="8445" max="8445" width="35.85546875" style="1" customWidth="1"/>
    <col min="8446" max="8446" width="5.140625" style="1" customWidth="1"/>
    <col min="8447" max="8452" width="9.140625" style="1"/>
    <col min="8453" max="8453" width="13.7109375" style="1" customWidth="1"/>
    <col min="8454" max="8457" width="16.7109375" style="1" customWidth="1"/>
    <col min="8458" max="8699" width="9.140625" style="1"/>
    <col min="8700" max="8700" width="6" style="1" customWidth="1"/>
    <col min="8701" max="8701" width="35.85546875" style="1" customWidth="1"/>
    <col min="8702" max="8702" width="5.140625" style="1" customWidth="1"/>
    <col min="8703" max="8708" width="9.140625" style="1"/>
    <col min="8709" max="8709" width="13.7109375" style="1" customWidth="1"/>
    <col min="8710" max="8713" width="16.7109375" style="1" customWidth="1"/>
    <col min="8714" max="8955" width="9.140625" style="1"/>
    <col min="8956" max="8956" width="6" style="1" customWidth="1"/>
    <col min="8957" max="8957" width="35.85546875" style="1" customWidth="1"/>
    <col min="8958" max="8958" width="5.140625" style="1" customWidth="1"/>
    <col min="8959" max="8964" width="9.140625" style="1"/>
    <col min="8965" max="8965" width="13.7109375" style="1" customWidth="1"/>
    <col min="8966" max="8969" width="16.7109375" style="1" customWidth="1"/>
    <col min="8970" max="9211" width="9.140625" style="1"/>
    <col min="9212" max="9212" width="6" style="1" customWidth="1"/>
    <col min="9213" max="9213" width="35.85546875" style="1" customWidth="1"/>
    <col min="9214" max="9214" width="5.140625" style="1" customWidth="1"/>
    <col min="9215" max="9220" width="9.140625" style="1"/>
    <col min="9221" max="9221" width="13.7109375" style="1" customWidth="1"/>
    <col min="9222" max="9225" width="16.7109375" style="1" customWidth="1"/>
    <col min="9226" max="9467" width="9.140625" style="1"/>
    <col min="9468" max="9468" width="6" style="1" customWidth="1"/>
    <col min="9469" max="9469" width="35.85546875" style="1" customWidth="1"/>
    <col min="9470" max="9470" width="5.140625" style="1" customWidth="1"/>
    <col min="9471" max="9476" width="9.140625" style="1"/>
    <col min="9477" max="9477" width="13.7109375" style="1" customWidth="1"/>
    <col min="9478" max="9481" width="16.7109375" style="1" customWidth="1"/>
    <col min="9482" max="9723" width="9.140625" style="1"/>
    <col min="9724" max="9724" width="6" style="1" customWidth="1"/>
    <col min="9725" max="9725" width="35.85546875" style="1" customWidth="1"/>
    <col min="9726" max="9726" width="5.140625" style="1" customWidth="1"/>
    <col min="9727" max="9732" width="9.140625" style="1"/>
    <col min="9733" max="9733" width="13.7109375" style="1" customWidth="1"/>
    <col min="9734" max="9737" width="16.7109375" style="1" customWidth="1"/>
    <col min="9738" max="9979" width="9.140625" style="1"/>
    <col min="9980" max="9980" width="6" style="1" customWidth="1"/>
    <col min="9981" max="9981" width="35.85546875" style="1" customWidth="1"/>
    <col min="9982" max="9982" width="5.140625" style="1" customWidth="1"/>
    <col min="9983" max="9988" width="9.140625" style="1"/>
    <col min="9989" max="9989" width="13.7109375" style="1" customWidth="1"/>
    <col min="9990" max="9993" width="16.7109375" style="1" customWidth="1"/>
    <col min="9994" max="10235" width="9.140625" style="1"/>
    <col min="10236" max="10236" width="6" style="1" customWidth="1"/>
    <col min="10237" max="10237" width="35.85546875" style="1" customWidth="1"/>
    <col min="10238" max="10238" width="5.140625" style="1" customWidth="1"/>
    <col min="10239" max="10244" width="9.140625" style="1"/>
    <col min="10245" max="10245" width="13.7109375" style="1" customWidth="1"/>
    <col min="10246" max="10249" width="16.7109375" style="1" customWidth="1"/>
    <col min="10250" max="10491" width="9.140625" style="1"/>
    <col min="10492" max="10492" width="6" style="1" customWidth="1"/>
    <col min="10493" max="10493" width="35.85546875" style="1" customWidth="1"/>
    <col min="10494" max="10494" width="5.140625" style="1" customWidth="1"/>
    <col min="10495" max="10500" width="9.140625" style="1"/>
    <col min="10501" max="10501" width="13.7109375" style="1" customWidth="1"/>
    <col min="10502" max="10505" width="16.7109375" style="1" customWidth="1"/>
    <col min="10506" max="10747" width="9.140625" style="1"/>
    <col min="10748" max="10748" width="6" style="1" customWidth="1"/>
    <col min="10749" max="10749" width="35.85546875" style="1" customWidth="1"/>
    <col min="10750" max="10750" width="5.140625" style="1" customWidth="1"/>
    <col min="10751" max="10756" width="9.140625" style="1"/>
    <col min="10757" max="10757" width="13.7109375" style="1" customWidth="1"/>
    <col min="10758" max="10761" width="16.7109375" style="1" customWidth="1"/>
    <col min="10762" max="11003" width="9.140625" style="1"/>
    <col min="11004" max="11004" width="6" style="1" customWidth="1"/>
    <col min="11005" max="11005" width="35.85546875" style="1" customWidth="1"/>
    <col min="11006" max="11006" width="5.140625" style="1" customWidth="1"/>
    <col min="11007" max="11012" width="9.140625" style="1"/>
    <col min="11013" max="11013" width="13.7109375" style="1" customWidth="1"/>
    <col min="11014" max="11017" width="16.7109375" style="1" customWidth="1"/>
    <col min="11018" max="11259" width="9.140625" style="1"/>
    <col min="11260" max="11260" width="6" style="1" customWidth="1"/>
    <col min="11261" max="11261" width="35.85546875" style="1" customWidth="1"/>
    <col min="11262" max="11262" width="5.140625" style="1" customWidth="1"/>
    <col min="11263" max="11268" width="9.140625" style="1"/>
    <col min="11269" max="11269" width="13.7109375" style="1" customWidth="1"/>
    <col min="11270" max="11273" width="16.7109375" style="1" customWidth="1"/>
    <col min="11274" max="11515" width="9.140625" style="1"/>
    <col min="11516" max="11516" width="6" style="1" customWidth="1"/>
    <col min="11517" max="11517" width="35.85546875" style="1" customWidth="1"/>
    <col min="11518" max="11518" width="5.140625" style="1" customWidth="1"/>
    <col min="11519" max="11524" width="9.140625" style="1"/>
    <col min="11525" max="11525" width="13.7109375" style="1" customWidth="1"/>
    <col min="11526" max="11529" width="16.7109375" style="1" customWidth="1"/>
    <col min="11530" max="11771" width="9.140625" style="1"/>
    <col min="11772" max="11772" width="6" style="1" customWidth="1"/>
    <col min="11773" max="11773" width="35.85546875" style="1" customWidth="1"/>
    <col min="11774" max="11774" width="5.140625" style="1" customWidth="1"/>
    <col min="11775" max="11780" width="9.140625" style="1"/>
    <col min="11781" max="11781" width="13.7109375" style="1" customWidth="1"/>
    <col min="11782" max="11785" width="16.7109375" style="1" customWidth="1"/>
    <col min="11786" max="12027" width="9.140625" style="1"/>
    <col min="12028" max="12028" width="6" style="1" customWidth="1"/>
    <col min="12029" max="12029" width="35.85546875" style="1" customWidth="1"/>
    <col min="12030" max="12030" width="5.140625" style="1" customWidth="1"/>
    <col min="12031" max="12036" width="9.140625" style="1"/>
    <col min="12037" max="12037" width="13.7109375" style="1" customWidth="1"/>
    <col min="12038" max="12041" width="16.7109375" style="1" customWidth="1"/>
    <col min="12042" max="12283" width="9.140625" style="1"/>
    <col min="12284" max="12284" width="6" style="1" customWidth="1"/>
    <col min="12285" max="12285" width="35.85546875" style="1" customWidth="1"/>
    <col min="12286" max="12286" width="5.140625" style="1" customWidth="1"/>
    <col min="12287" max="12292" width="9.140625" style="1"/>
    <col min="12293" max="12293" width="13.7109375" style="1" customWidth="1"/>
    <col min="12294" max="12297" width="16.7109375" style="1" customWidth="1"/>
    <col min="12298" max="12539" width="9.140625" style="1"/>
    <col min="12540" max="12540" width="6" style="1" customWidth="1"/>
    <col min="12541" max="12541" width="35.85546875" style="1" customWidth="1"/>
    <col min="12542" max="12542" width="5.140625" style="1" customWidth="1"/>
    <col min="12543" max="12548" width="9.140625" style="1"/>
    <col min="12549" max="12549" width="13.7109375" style="1" customWidth="1"/>
    <col min="12550" max="12553" width="16.7109375" style="1" customWidth="1"/>
    <col min="12554" max="12795" width="9.140625" style="1"/>
    <col min="12796" max="12796" width="6" style="1" customWidth="1"/>
    <col min="12797" max="12797" width="35.85546875" style="1" customWidth="1"/>
    <col min="12798" max="12798" width="5.140625" style="1" customWidth="1"/>
    <col min="12799" max="12804" width="9.140625" style="1"/>
    <col min="12805" max="12805" width="13.7109375" style="1" customWidth="1"/>
    <col min="12806" max="12809" width="16.7109375" style="1" customWidth="1"/>
    <col min="12810" max="13051" width="9.140625" style="1"/>
    <col min="13052" max="13052" width="6" style="1" customWidth="1"/>
    <col min="13053" max="13053" width="35.85546875" style="1" customWidth="1"/>
    <col min="13054" max="13054" width="5.140625" style="1" customWidth="1"/>
    <col min="13055" max="13060" width="9.140625" style="1"/>
    <col min="13061" max="13061" width="13.7109375" style="1" customWidth="1"/>
    <col min="13062" max="13065" width="16.7109375" style="1" customWidth="1"/>
    <col min="13066" max="13307" width="9.140625" style="1"/>
    <col min="13308" max="13308" width="6" style="1" customWidth="1"/>
    <col min="13309" max="13309" width="35.85546875" style="1" customWidth="1"/>
    <col min="13310" max="13310" width="5.140625" style="1" customWidth="1"/>
    <col min="13311" max="13316" width="9.140625" style="1"/>
    <col min="13317" max="13317" width="13.7109375" style="1" customWidth="1"/>
    <col min="13318" max="13321" width="16.7109375" style="1" customWidth="1"/>
    <col min="13322" max="13563" width="9.140625" style="1"/>
    <col min="13564" max="13564" width="6" style="1" customWidth="1"/>
    <col min="13565" max="13565" width="35.85546875" style="1" customWidth="1"/>
    <col min="13566" max="13566" width="5.140625" style="1" customWidth="1"/>
    <col min="13567" max="13572" width="9.140625" style="1"/>
    <col min="13573" max="13573" width="13.7109375" style="1" customWidth="1"/>
    <col min="13574" max="13577" width="16.7109375" style="1" customWidth="1"/>
    <col min="13578" max="13819" width="9.140625" style="1"/>
    <col min="13820" max="13820" width="6" style="1" customWidth="1"/>
    <col min="13821" max="13821" width="35.85546875" style="1" customWidth="1"/>
    <col min="13822" max="13822" width="5.140625" style="1" customWidth="1"/>
    <col min="13823" max="13828" width="9.140625" style="1"/>
    <col min="13829" max="13829" width="13.7109375" style="1" customWidth="1"/>
    <col min="13830" max="13833" width="16.7109375" style="1" customWidth="1"/>
    <col min="13834" max="14075" width="9.140625" style="1"/>
    <col min="14076" max="14076" width="6" style="1" customWidth="1"/>
    <col min="14077" max="14077" width="35.85546875" style="1" customWidth="1"/>
    <col min="14078" max="14078" width="5.140625" style="1" customWidth="1"/>
    <col min="14079" max="14084" width="9.140625" style="1"/>
    <col min="14085" max="14085" width="13.7109375" style="1" customWidth="1"/>
    <col min="14086" max="14089" width="16.7109375" style="1" customWidth="1"/>
    <col min="14090" max="14331" width="9.140625" style="1"/>
    <col min="14332" max="14332" width="6" style="1" customWidth="1"/>
    <col min="14333" max="14333" width="35.85546875" style="1" customWidth="1"/>
    <col min="14334" max="14334" width="5.140625" style="1" customWidth="1"/>
    <col min="14335" max="14340" width="9.140625" style="1"/>
    <col min="14341" max="14341" width="13.7109375" style="1" customWidth="1"/>
    <col min="14342" max="14345" width="16.7109375" style="1" customWidth="1"/>
    <col min="14346" max="14587" width="9.140625" style="1"/>
    <col min="14588" max="14588" width="6" style="1" customWidth="1"/>
    <col min="14589" max="14589" width="35.85546875" style="1" customWidth="1"/>
    <col min="14590" max="14590" width="5.140625" style="1" customWidth="1"/>
    <col min="14591" max="14596" width="9.140625" style="1"/>
    <col min="14597" max="14597" width="13.7109375" style="1" customWidth="1"/>
    <col min="14598" max="14601" width="16.7109375" style="1" customWidth="1"/>
    <col min="14602" max="14843" width="9.140625" style="1"/>
    <col min="14844" max="14844" width="6" style="1" customWidth="1"/>
    <col min="14845" max="14845" width="35.85546875" style="1" customWidth="1"/>
    <col min="14846" max="14846" width="5.140625" style="1" customWidth="1"/>
    <col min="14847" max="14852" width="9.140625" style="1"/>
    <col min="14853" max="14853" width="13.7109375" style="1" customWidth="1"/>
    <col min="14854" max="14857" width="16.7109375" style="1" customWidth="1"/>
    <col min="14858" max="15099" width="9.140625" style="1"/>
    <col min="15100" max="15100" width="6" style="1" customWidth="1"/>
    <col min="15101" max="15101" width="35.85546875" style="1" customWidth="1"/>
    <col min="15102" max="15102" width="5.140625" style="1" customWidth="1"/>
    <col min="15103" max="15108" width="9.140625" style="1"/>
    <col min="15109" max="15109" width="13.7109375" style="1" customWidth="1"/>
    <col min="15110" max="15113" width="16.7109375" style="1" customWidth="1"/>
    <col min="15114" max="15355" width="9.140625" style="1"/>
    <col min="15356" max="15356" width="6" style="1" customWidth="1"/>
    <col min="15357" max="15357" width="35.85546875" style="1" customWidth="1"/>
    <col min="15358" max="15358" width="5.140625" style="1" customWidth="1"/>
    <col min="15359" max="15364" width="9.140625" style="1"/>
    <col min="15365" max="15365" width="13.7109375" style="1" customWidth="1"/>
    <col min="15366" max="15369" width="16.7109375" style="1" customWidth="1"/>
    <col min="15370" max="15611" width="9.140625" style="1"/>
    <col min="15612" max="15612" width="6" style="1" customWidth="1"/>
    <col min="15613" max="15613" width="35.85546875" style="1" customWidth="1"/>
    <col min="15614" max="15614" width="5.140625" style="1" customWidth="1"/>
    <col min="15615" max="15620" width="9.140625" style="1"/>
    <col min="15621" max="15621" width="13.7109375" style="1" customWidth="1"/>
    <col min="15622" max="15625" width="16.7109375" style="1" customWidth="1"/>
    <col min="15626" max="15867" width="9.140625" style="1"/>
    <col min="15868" max="15868" width="6" style="1" customWidth="1"/>
    <col min="15869" max="15869" width="35.85546875" style="1" customWidth="1"/>
    <col min="15870" max="15870" width="5.140625" style="1" customWidth="1"/>
    <col min="15871" max="15876" width="9.140625" style="1"/>
    <col min="15877" max="15877" width="13.7109375" style="1" customWidth="1"/>
    <col min="15878" max="15881" width="16.7109375" style="1" customWidth="1"/>
    <col min="15882" max="16123" width="9.140625" style="1"/>
    <col min="16124" max="16124" width="6" style="1" customWidth="1"/>
    <col min="16125" max="16125" width="35.85546875" style="1" customWidth="1"/>
    <col min="16126" max="16126" width="5.140625" style="1" customWidth="1"/>
    <col min="16127" max="16132" width="9.140625" style="1"/>
    <col min="16133" max="16133" width="13.7109375" style="1" customWidth="1"/>
    <col min="16134" max="16137" width="16.7109375" style="1" customWidth="1"/>
    <col min="16138" max="16384" width="9.140625" style="1"/>
  </cols>
  <sheetData>
    <row r="1" spans="1:16" ht="15" customHeight="1" x14ac:dyDescent="0.25">
      <c r="F1" s="94"/>
      <c r="G1" s="428"/>
      <c r="H1" s="428"/>
      <c r="I1" s="428"/>
    </row>
    <row r="2" spans="1:16" ht="15" customHeight="1" x14ac:dyDescent="0.25">
      <c r="A2" s="429" t="s">
        <v>192</v>
      </c>
      <c r="B2" s="429"/>
      <c r="C2" s="429"/>
      <c r="F2" s="428"/>
      <c r="G2" s="428"/>
      <c r="H2" s="428"/>
      <c r="I2" s="428"/>
    </row>
    <row r="4" spans="1:16" x14ac:dyDescent="0.25">
      <c r="C4" s="40"/>
      <c r="D4" s="40"/>
      <c r="E4" s="41"/>
      <c r="F4" s="95"/>
      <c r="G4" s="105"/>
      <c r="H4" s="33"/>
      <c r="I4" s="33"/>
    </row>
    <row r="5" spans="1:16" x14ac:dyDescent="0.25">
      <c r="C5" s="430" t="s">
        <v>190</v>
      </c>
      <c r="D5" s="430"/>
      <c r="E5" s="430"/>
      <c r="F5" s="430"/>
      <c r="G5" s="430"/>
      <c r="H5" s="430"/>
      <c r="I5" s="33"/>
    </row>
    <row r="6" spans="1:16" x14ac:dyDescent="0.25">
      <c r="C6" s="430" t="s">
        <v>122</v>
      </c>
      <c r="D6" s="430"/>
      <c r="E6" s="430"/>
      <c r="F6" s="430"/>
      <c r="G6" s="430"/>
      <c r="H6" s="430"/>
      <c r="I6" s="33"/>
    </row>
    <row r="7" spans="1:16" x14ac:dyDescent="0.25">
      <c r="C7" s="40"/>
      <c r="D7" s="40"/>
      <c r="E7" s="41"/>
      <c r="F7" s="95"/>
      <c r="G7" s="105"/>
      <c r="H7" s="33"/>
      <c r="I7" s="33"/>
    </row>
    <row r="8" spans="1:16" x14ac:dyDescent="0.25">
      <c r="C8" s="40"/>
      <c r="D8" s="40"/>
      <c r="E8" s="41"/>
      <c r="F8" s="95"/>
      <c r="G8" s="105"/>
      <c r="H8" s="33"/>
      <c r="I8" s="33"/>
    </row>
    <row r="9" spans="1:16" x14ac:dyDescent="0.25">
      <c r="A9" s="427" t="s">
        <v>197</v>
      </c>
      <c r="B9" s="427"/>
      <c r="C9" s="427"/>
      <c r="D9" s="427"/>
      <c r="E9" s="427"/>
      <c r="F9" s="427"/>
      <c r="G9" s="427"/>
      <c r="H9" s="427"/>
      <c r="I9" s="427"/>
    </row>
    <row r="10" spans="1:16" ht="40.5" customHeight="1" x14ac:dyDescent="0.25">
      <c r="A10" s="427"/>
      <c r="B10" s="427"/>
      <c r="C10" s="427"/>
      <c r="D10" s="427"/>
      <c r="E10" s="427"/>
      <c r="F10" s="427"/>
      <c r="G10" s="427"/>
      <c r="H10" s="427"/>
      <c r="I10" s="427"/>
    </row>
    <row r="11" spans="1:16" x14ac:dyDescent="0.25">
      <c r="C11" s="40"/>
      <c r="D11" s="40"/>
      <c r="E11" s="41"/>
      <c r="F11" s="95"/>
      <c r="G11" s="105"/>
      <c r="H11" s="33"/>
      <c r="I11" s="33"/>
    </row>
    <row r="12" spans="1:16" x14ac:dyDescent="0.25">
      <c r="A12" s="431" t="s">
        <v>199</v>
      </c>
      <c r="B12" s="431"/>
      <c r="C12" s="432" t="s">
        <v>200</v>
      </c>
      <c r="D12" s="432"/>
      <c r="E12" s="432"/>
      <c r="F12" s="432"/>
      <c r="G12" s="432"/>
      <c r="H12" s="432"/>
      <c r="I12" s="432"/>
      <c r="L12" s="41"/>
    </row>
    <row r="13" spans="1:16" x14ac:dyDescent="0.25">
      <c r="D13" s="103"/>
      <c r="I13" s="104"/>
      <c r="K13" s="309"/>
      <c r="L13" s="41"/>
    </row>
    <row r="14" spans="1:16" ht="15.75" thickBot="1" x14ac:dyDescent="0.3">
      <c r="D14" s="103"/>
    </row>
    <row r="15" spans="1:16" s="2" customFormat="1" ht="15.75" thickBot="1" x14ac:dyDescent="0.3">
      <c r="A15" s="433" t="s">
        <v>0</v>
      </c>
      <c r="B15" s="435" t="s">
        <v>51</v>
      </c>
      <c r="C15" s="437" t="s">
        <v>1</v>
      </c>
      <c r="D15" s="437" t="s">
        <v>2</v>
      </c>
      <c r="E15" s="439" t="s">
        <v>3</v>
      </c>
      <c r="F15" s="441" t="s">
        <v>4</v>
      </c>
      <c r="G15" s="442"/>
      <c r="H15" s="441" t="s">
        <v>5</v>
      </c>
      <c r="I15" s="442"/>
      <c r="J15" s="95"/>
      <c r="K15" s="303"/>
      <c r="L15" s="303"/>
      <c r="M15" s="303"/>
      <c r="N15" s="303"/>
      <c r="O15" s="303"/>
      <c r="P15" s="303"/>
    </row>
    <row r="16" spans="1:16" s="2" customFormat="1" ht="15.75" thickBot="1" x14ac:dyDescent="0.3">
      <c r="A16" s="434"/>
      <c r="B16" s="436"/>
      <c r="C16" s="438"/>
      <c r="D16" s="438"/>
      <c r="E16" s="440"/>
      <c r="F16" s="3" t="s">
        <v>44</v>
      </c>
      <c r="G16" s="3" t="s">
        <v>6</v>
      </c>
      <c r="H16" s="3" t="s">
        <v>44</v>
      </c>
      <c r="I16" s="3" t="s">
        <v>6</v>
      </c>
      <c r="J16" s="95"/>
      <c r="K16" s="303"/>
      <c r="L16" s="303"/>
      <c r="M16" s="303"/>
      <c r="N16" s="303"/>
      <c r="O16" s="303"/>
      <c r="P16" s="303"/>
    </row>
    <row r="17" spans="1:16" s="2" customFormat="1" ht="15.75" thickBot="1" x14ac:dyDescent="0.3">
      <c r="A17" s="300" t="s">
        <v>18</v>
      </c>
      <c r="B17" s="391" t="s">
        <v>21</v>
      </c>
      <c r="C17" s="302" t="s">
        <v>28</v>
      </c>
      <c r="D17" s="302" t="s">
        <v>30</v>
      </c>
      <c r="E17" s="302" t="s">
        <v>35</v>
      </c>
      <c r="F17" s="302" t="s">
        <v>36</v>
      </c>
      <c r="G17" s="302" t="s">
        <v>37</v>
      </c>
      <c r="H17" s="302" t="s">
        <v>38</v>
      </c>
      <c r="I17" s="392" t="s">
        <v>40</v>
      </c>
      <c r="J17" s="95"/>
      <c r="K17" s="303"/>
      <c r="L17" s="303"/>
      <c r="M17" s="303"/>
      <c r="N17" s="303"/>
      <c r="O17" s="303"/>
      <c r="P17" s="303"/>
    </row>
    <row r="18" spans="1:16" ht="15.75" thickBot="1" x14ac:dyDescent="0.3">
      <c r="A18" s="42"/>
      <c r="B18" s="43"/>
      <c r="C18" s="44" t="s">
        <v>52</v>
      </c>
      <c r="D18" s="45"/>
      <c r="E18" s="45"/>
      <c r="F18" s="45"/>
      <c r="G18" s="46"/>
      <c r="H18" s="46"/>
      <c r="I18" s="47"/>
      <c r="K18" s="40" t="s">
        <v>8</v>
      </c>
    </row>
    <row r="19" spans="1:16" ht="63.75" x14ac:dyDescent="0.25">
      <c r="A19" s="117">
        <v>1</v>
      </c>
      <c r="B19" s="118" t="s">
        <v>7</v>
      </c>
      <c r="C19" s="119" t="s">
        <v>212</v>
      </c>
      <c r="D19" s="120" t="s">
        <v>53</v>
      </c>
      <c r="E19" s="121">
        <f>1045.65+203.7</f>
        <v>1249.3500000000001</v>
      </c>
      <c r="F19" s="122"/>
      <c r="G19" s="123">
        <v>0</v>
      </c>
      <c r="H19" s="124"/>
      <c r="I19" s="123">
        <f t="shared" ref="I19:I24" si="0">E19*G19</f>
        <v>0</v>
      </c>
      <c r="K19" s="41">
        <f>E19+E20</f>
        <v>1287.9900000000002</v>
      </c>
      <c r="L19" s="40" t="s">
        <v>93</v>
      </c>
    </row>
    <row r="20" spans="1:16" ht="38.25" x14ac:dyDescent="0.25">
      <c r="A20" s="106" t="s">
        <v>21</v>
      </c>
      <c r="B20" s="107" t="s">
        <v>7</v>
      </c>
      <c r="C20" s="108" t="s">
        <v>54</v>
      </c>
      <c r="D20" s="109" t="s">
        <v>53</v>
      </c>
      <c r="E20" s="110">
        <f>32.34+6.3</f>
        <v>38.64</v>
      </c>
      <c r="F20" s="111"/>
      <c r="G20" s="114">
        <v>0</v>
      </c>
      <c r="H20" s="113"/>
      <c r="I20" s="114">
        <f t="shared" si="0"/>
        <v>0</v>
      </c>
      <c r="K20" s="41">
        <f>E23+E25</f>
        <v>155.16</v>
      </c>
      <c r="L20" s="40" t="s">
        <v>163</v>
      </c>
    </row>
    <row r="21" spans="1:16" x14ac:dyDescent="0.25">
      <c r="A21" s="106" t="s">
        <v>28</v>
      </c>
      <c r="B21" s="107" t="s">
        <v>7</v>
      </c>
      <c r="C21" s="108" t="s">
        <v>186</v>
      </c>
      <c r="D21" s="109" t="s">
        <v>8</v>
      </c>
      <c r="E21" s="110">
        <v>34.049999999999997</v>
      </c>
      <c r="F21" s="111"/>
      <c r="G21" s="114">
        <v>0</v>
      </c>
      <c r="H21" s="113"/>
      <c r="I21" s="114">
        <f t="shared" si="0"/>
        <v>0</v>
      </c>
      <c r="K21" s="41">
        <f>K34+K37</f>
        <v>17.286583125</v>
      </c>
      <c r="L21" s="40" t="s">
        <v>198</v>
      </c>
    </row>
    <row r="22" spans="1:16" x14ac:dyDescent="0.25">
      <c r="A22" s="106" t="s">
        <v>30</v>
      </c>
      <c r="B22" s="107" t="s">
        <v>7</v>
      </c>
      <c r="C22" s="108" t="s">
        <v>187</v>
      </c>
      <c r="D22" s="109" t="s">
        <v>31</v>
      </c>
      <c r="E22" s="110">
        <f>(E19+E20)*1.6</f>
        <v>2060.7840000000006</v>
      </c>
      <c r="F22" s="111"/>
      <c r="G22" s="114">
        <v>0</v>
      </c>
      <c r="H22" s="113"/>
      <c r="I22" s="114">
        <f>E22*G22</f>
        <v>0</v>
      </c>
    </row>
    <row r="23" spans="1:16" ht="25.5" x14ac:dyDescent="0.25">
      <c r="A23" s="106" t="s">
        <v>35</v>
      </c>
      <c r="B23" s="107" t="s">
        <v>7</v>
      </c>
      <c r="C23" s="108" t="s">
        <v>9</v>
      </c>
      <c r="D23" s="109" t="s">
        <v>53</v>
      </c>
      <c r="E23" s="110">
        <v>27.57</v>
      </c>
      <c r="F23" s="111"/>
      <c r="G23" s="114">
        <v>0</v>
      </c>
      <c r="H23" s="113"/>
      <c r="I23" s="114">
        <f t="shared" si="0"/>
        <v>0</v>
      </c>
      <c r="K23" s="40">
        <v>2.71</v>
      </c>
      <c r="L23" s="40" t="s">
        <v>164</v>
      </c>
    </row>
    <row r="24" spans="1:16" ht="38.25" x14ac:dyDescent="0.25">
      <c r="A24" s="125" t="s">
        <v>27</v>
      </c>
      <c r="B24" s="126" t="s">
        <v>11</v>
      </c>
      <c r="C24" s="127" t="s">
        <v>12</v>
      </c>
      <c r="D24" s="109" t="s">
        <v>8</v>
      </c>
      <c r="E24" s="110">
        <f>1.1*E23</f>
        <v>30.327000000000002</v>
      </c>
      <c r="F24" s="128">
        <v>0</v>
      </c>
      <c r="G24" s="129"/>
      <c r="H24" s="130">
        <f>E24*F24</f>
        <v>0</v>
      </c>
      <c r="I24" s="129">
        <f t="shared" si="0"/>
        <v>0</v>
      </c>
      <c r="K24" s="40">
        <v>16.46</v>
      </c>
      <c r="L24" s="40" t="s">
        <v>170</v>
      </c>
    </row>
    <row r="25" spans="1:16" ht="25.5" x14ac:dyDescent="0.25">
      <c r="A25" s="106" t="s">
        <v>36</v>
      </c>
      <c r="B25" s="107" t="s">
        <v>7</v>
      </c>
      <c r="C25" s="108" t="s">
        <v>97</v>
      </c>
      <c r="D25" s="109" t="s">
        <v>53</v>
      </c>
      <c r="E25" s="110">
        <v>127.59</v>
      </c>
      <c r="F25" s="111"/>
      <c r="G25" s="114">
        <v>0</v>
      </c>
      <c r="H25" s="113"/>
      <c r="I25" s="114">
        <f>E25*G25</f>
        <v>0</v>
      </c>
      <c r="K25" s="40">
        <v>26.58</v>
      </c>
      <c r="L25" s="40" t="s">
        <v>171</v>
      </c>
    </row>
    <row r="26" spans="1:16" ht="38.25" x14ac:dyDescent="0.25">
      <c r="A26" s="125" t="s">
        <v>10</v>
      </c>
      <c r="B26" s="126" t="s">
        <v>11</v>
      </c>
      <c r="C26" s="127" t="s">
        <v>12</v>
      </c>
      <c r="D26" s="109" t="s">
        <v>53</v>
      </c>
      <c r="E26" s="110">
        <f>1.1*E25</f>
        <v>140.34900000000002</v>
      </c>
      <c r="F26" s="128">
        <v>0</v>
      </c>
      <c r="G26" s="129"/>
      <c r="H26" s="130">
        <f>E26*F26</f>
        <v>0</v>
      </c>
      <c r="I26" s="129"/>
      <c r="K26" s="41">
        <f>K19-K20-K21-K23-K24-K25</f>
        <v>1069.793416875</v>
      </c>
      <c r="N26" s="304">
        <f>K20+K21+K23+K24+K25</f>
        <v>218.19658312500002</v>
      </c>
      <c r="O26" s="443" t="s">
        <v>165</v>
      </c>
      <c r="P26" s="443"/>
    </row>
    <row r="27" spans="1:16" ht="51" x14ac:dyDescent="0.25">
      <c r="A27" s="106" t="s">
        <v>37</v>
      </c>
      <c r="B27" s="107" t="s">
        <v>7</v>
      </c>
      <c r="C27" s="108" t="s">
        <v>55</v>
      </c>
      <c r="D27" s="109" t="s">
        <v>8</v>
      </c>
      <c r="E27" s="110">
        <v>1069.79</v>
      </c>
      <c r="F27" s="111"/>
      <c r="G27" s="112">
        <v>0</v>
      </c>
      <c r="H27" s="113"/>
      <c r="I27" s="114">
        <f t="shared" ref="I27:I30" si="1">E27*G27</f>
        <v>0</v>
      </c>
    </row>
    <row r="28" spans="1:16" ht="38.25" x14ac:dyDescent="0.25">
      <c r="A28" s="125" t="s">
        <v>13</v>
      </c>
      <c r="B28" s="126" t="s">
        <v>11</v>
      </c>
      <c r="C28" s="127" t="s">
        <v>12</v>
      </c>
      <c r="D28" s="109" t="s">
        <v>53</v>
      </c>
      <c r="E28" s="110">
        <f>1.1*E27</f>
        <v>1176.769</v>
      </c>
      <c r="F28" s="128">
        <v>0</v>
      </c>
      <c r="G28" s="129"/>
      <c r="H28" s="130">
        <f>E28*F28</f>
        <v>0</v>
      </c>
      <c r="I28" s="129"/>
    </row>
    <row r="29" spans="1:16" ht="25.5" x14ac:dyDescent="0.25">
      <c r="A29" s="48" t="s">
        <v>38</v>
      </c>
      <c r="B29" s="102" t="s">
        <v>7</v>
      </c>
      <c r="C29" s="49" t="s">
        <v>14</v>
      </c>
      <c r="D29" s="19" t="s">
        <v>53</v>
      </c>
      <c r="E29" s="50">
        <v>0</v>
      </c>
      <c r="F29" s="29"/>
      <c r="G29" s="7">
        <v>0</v>
      </c>
      <c r="H29" s="8"/>
      <c r="I29" s="7">
        <f>E29*G29</f>
        <v>0</v>
      </c>
    </row>
    <row r="30" spans="1:16" ht="21.75" customHeight="1" thickBot="1" x14ac:dyDescent="0.3">
      <c r="A30" s="131" t="s">
        <v>40</v>
      </c>
      <c r="B30" s="132" t="s">
        <v>7</v>
      </c>
      <c r="C30" s="133" t="s">
        <v>15</v>
      </c>
      <c r="D30" s="134" t="s">
        <v>45</v>
      </c>
      <c r="E30" s="135">
        <v>0</v>
      </c>
      <c r="F30" s="136"/>
      <c r="G30" s="137">
        <v>0</v>
      </c>
      <c r="H30" s="138"/>
      <c r="I30" s="137">
        <f t="shared" si="1"/>
        <v>0</v>
      </c>
    </row>
    <row r="31" spans="1:16" ht="15.75" thickBot="1" x14ac:dyDescent="0.3">
      <c r="A31" s="54"/>
      <c r="B31" s="55"/>
      <c r="C31" s="56" t="s">
        <v>16</v>
      </c>
      <c r="D31" s="57"/>
      <c r="E31" s="58"/>
      <c r="F31" s="60"/>
      <c r="G31" s="61"/>
      <c r="H31" s="62">
        <f>SUM(H24:H30)</f>
        <v>0</v>
      </c>
      <c r="I31" s="61">
        <f>SUM(I19:I30)</f>
        <v>0</v>
      </c>
    </row>
    <row r="32" spans="1:16" ht="15.75" thickBot="1" x14ac:dyDescent="0.3">
      <c r="A32" s="63"/>
      <c r="B32" s="64"/>
      <c r="C32" s="56" t="s">
        <v>17</v>
      </c>
      <c r="D32" s="59"/>
      <c r="E32" s="59"/>
      <c r="F32" s="65"/>
      <c r="G32" s="65"/>
      <c r="H32" s="65"/>
      <c r="I32" s="27">
        <f>H31+I31</f>
        <v>0</v>
      </c>
    </row>
    <row r="33" spans="1:11" ht="15.75" thickBot="1" x14ac:dyDescent="0.3">
      <c r="A33" s="450" t="s">
        <v>56</v>
      </c>
      <c r="B33" s="449"/>
      <c r="C33" s="449"/>
      <c r="D33" s="449"/>
      <c r="E33" s="449"/>
      <c r="F33" s="449"/>
      <c r="G33" s="449"/>
      <c r="H33" s="449"/>
      <c r="I33" s="451"/>
    </row>
    <row r="34" spans="1:11" ht="38.25" customHeight="1" x14ac:dyDescent="0.25">
      <c r="A34" s="117" t="s">
        <v>18</v>
      </c>
      <c r="B34" s="118" t="s">
        <v>7</v>
      </c>
      <c r="C34" s="119" t="s">
        <v>123</v>
      </c>
      <c r="D34" s="139" t="s">
        <v>19</v>
      </c>
      <c r="E34" s="140">
        <v>109.8</v>
      </c>
      <c r="F34" s="124"/>
      <c r="G34" s="141">
        <v>0</v>
      </c>
      <c r="H34" s="124"/>
      <c r="I34" s="141">
        <f>E34*G34</f>
        <v>0</v>
      </c>
      <c r="J34" s="35"/>
      <c r="K34" s="41">
        <f>0.2*0.2*3.14*E34</f>
        <v>13.790880000000001</v>
      </c>
    </row>
    <row r="35" spans="1:11" ht="40.5" customHeight="1" x14ac:dyDescent="0.25">
      <c r="A35" s="125" t="s">
        <v>20</v>
      </c>
      <c r="B35" s="126" t="s">
        <v>11</v>
      </c>
      <c r="C35" s="127" t="s">
        <v>124</v>
      </c>
      <c r="D35" s="142" t="s">
        <v>19</v>
      </c>
      <c r="E35" s="143">
        <f>1.025*E34</f>
        <v>112.54499999999999</v>
      </c>
      <c r="F35" s="130">
        <v>0</v>
      </c>
      <c r="G35" s="144"/>
      <c r="H35" s="130">
        <f>E35*F35</f>
        <v>0</v>
      </c>
      <c r="I35" s="144"/>
      <c r="K35" s="41"/>
    </row>
    <row r="36" spans="1:11" ht="37.5" customHeight="1" x14ac:dyDescent="0.25">
      <c r="A36" s="125" t="s">
        <v>57</v>
      </c>
      <c r="B36" s="126" t="s">
        <v>11</v>
      </c>
      <c r="C36" s="127" t="s">
        <v>125</v>
      </c>
      <c r="D36" s="142" t="s">
        <v>24</v>
      </c>
      <c r="E36" s="143">
        <v>12</v>
      </c>
      <c r="F36" s="130">
        <v>0</v>
      </c>
      <c r="G36" s="145"/>
      <c r="H36" s="130">
        <f>E36*F36</f>
        <v>0</v>
      </c>
      <c r="I36" s="145"/>
      <c r="K36" s="41"/>
    </row>
    <row r="37" spans="1:11" ht="45.75" customHeight="1" x14ac:dyDescent="0.25">
      <c r="A37" s="106" t="s">
        <v>21</v>
      </c>
      <c r="B37" s="107" t="s">
        <v>7</v>
      </c>
      <c r="C37" s="146" t="s">
        <v>94</v>
      </c>
      <c r="D37" s="142" t="s">
        <v>19</v>
      </c>
      <c r="E37" s="140">
        <v>71.25</v>
      </c>
      <c r="F37" s="130"/>
      <c r="G37" s="141">
        <v>0</v>
      </c>
      <c r="H37" s="130">
        <f t="shared" ref="H37:H39" si="2">E37*F37</f>
        <v>0</v>
      </c>
      <c r="I37" s="141">
        <f>E37*G37</f>
        <v>0</v>
      </c>
      <c r="K37" s="41">
        <f>3.14*0.125*0.125*E37</f>
        <v>3.4957031250000004</v>
      </c>
    </row>
    <row r="38" spans="1:11" ht="42.75" customHeight="1" x14ac:dyDescent="0.25">
      <c r="A38" s="147" t="s">
        <v>22</v>
      </c>
      <c r="B38" s="148" t="s">
        <v>11</v>
      </c>
      <c r="C38" s="149" t="s">
        <v>95</v>
      </c>
      <c r="D38" s="150" t="s">
        <v>19</v>
      </c>
      <c r="E38" s="151">
        <f>1.025*E37</f>
        <v>73.03125</v>
      </c>
      <c r="F38" s="152">
        <v>0</v>
      </c>
      <c r="G38" s="153"/>
      <c r="H38" s="130">
        <f t="shared" si="2"/>
        <v>0</v>
      </c>
      <c r="I38" s="153"/>
      <c r="K38" s="41"/>
    </row>
    <row r="39" spans="1:11" ht="26.25" thickBot="1" x14ac:dyDescent="0.3">
      <c r="A39" s="125" t="s">
        <v>23</v>
      </c>
      <c r="B39" s="154" t="s">
        <v>11</v>
      </c>
      <c r="C39" s="155" t="s">
        <v>96</v>
      </c>
      <c r="D39" s="150" t="s">
        <v>24</v>
      </c>
      <c r="E39" s="151">
        <v>8</v>
      </c>
      <c r="F39" s="130">
        <v>0</v>
      </c>
      <c r="G39" s="156"/>
      <c r="H39" s="130">
        <f t="shared" si="2"/>
        <v>0</v>
      </c>
      <c r="I39" s="153"/>
      <c r="K39" s="41"/>
    </row>
    <row r="40" spans="1:11" ht="15.75" thickBot="1" x14ac:dyDescent="0.3">
      <c r="A40" s="15"/>
      <c r="B40" s="16"/>
      <c r="C40" s="17" t="s">
        <v>16</v>
      </c>
      <c r="D40" s="68"/>
      <c r="E40" s="69"/>
      <c r="F40" s="28"/>
      <c r="G40" s="28"/>
      <c r="H40" s="115">
        <f>SUM(H35:H39)</f>
        <v>0</v>
      </c>
      <c r="I40" s="30">
        <f>SUM(I34:I39)</f>
        <v>0</v>
      </c>
      <c r="K40" s="41"/>
    </row>
    <row r="41" spans="1:11" ht="15.75" thickBot="1" x14ac:dyDescent="0.3">
      <c r="A41" s="4"/>
      <c r="B41" s="5"/>
      <c r="C41" s="17" t="s">
        <v>17</v>
      </c>
      <c r="D41" s="70"/>
      <c r="E41" s="69"/>
      <c r="F41" s="28"/>
      <c r="G41" s="28"/>
      <c r="H41" s="27"/>
      <c r="I41" s="27">
        <f>H40+I40</f>
        <v>0</v>
      </c>
    </row>
    <row r="42" spans="1:11" ht="16.5" thickBot="1" x14ac:dyDescent="0.3">
      <c r="A42" s="452" t="s">
        <v>130</v>
      </c>
      <c r="B42" s="453"/>
      <c r="C42" s="453"/>
      <c r="D42" s="453"/>
      <c r="E42" s="453"/>
      <c r="F42" s="453"/>
      <c r="G42" s="453"/>
      <c r="H42" s="453"/>
      <c r="I42" s="454"/>
    </row>
    <row r="43" spans="1:11" ht="45.75" customHeight="1" x14ac:dyDescent="0.25">
      <c r="A43" s="18" t="s">
        <v>18</v>
      </c>
      <c r="B43" s="18" t="s">
        <v>7</v>
      </c>
      <c r="C43" s="98" t="s">
        <v>59</v>
      </c>
      <c r="D43" s="19" t="s">
        <v>19</v>
      </c>
      <c r="E43" s="50">
        <f>3.48+5.35</f>
        <v>8.83</v>
      </c>
      <c r="F43" s="8"/>
      <c r="G43" s="7">
        <v>0</v>
      </c>
      <c r="H43" s="8"/>
      <c r="I43" s="7">
        <f>E43*G43</f>
        <v>0</v>
      </c>
      <c r="J43" s="310"/>
    </row>
    <row r="44" spans="1:11" ht="51" x14ac:dyDescent="0.25">
      <c r="A44" s="9" t="s">
        <v>20</v>
      </c>
      <c r="B44" s="9" t="s">
        <v>11</v>
      </c>
      <c r="C44" s="66" t="s">
        <v>87</v>
      </c>
      <c r="D44" s="20" t="s">
        <v>19</v>
      </c>
      <c r="E44" s="51">
        <f>E43</f>
        <v>8.83</v>
      </c>
      <c r="F44" s="11">
        <v>0</v>
      </c>
      <c r="G44" s="10"/>
      <c r="H44" s="11">
        <f>E44*F44</f>
        <v>0</v>
      </c>
      <c r="I44" s="10"/>
    </row>
    <row r="45" spans="1:11" ht="25.5" x14ac:dyDescent="0.25">
      <c r="A45" s="9" t="s">
        <v>120</v>
      </c>
      <c r="B45" s="9" t="s">
        <v>11</v>
      </c>
      <c r="C45" s="66" t="s">
        <v>88</v>
      </c>
      <c r="D45" s="20" t="s">
        <v>24</v>
      </c>
      <c r="E45" s="51">
        <v>2</v>
      </c>
      <c r="F45" s="11">
        <v>0</v>
      </c>
      <c r="G45" s="10"/>
      <c r="H45" s="11">
        <f>E45*F45</f>
        <v>0</v>
      </c>
      <c r="I45" s="10"/>
    </row>
    <row r="46" spans="1:11" ht="25.5" x14ac:dyDescent="0.25">
      <c r="A46" s="96" t="s">
        <v>21</v>
      </c>
      <c r="B46" s="96" t="s">
        <v>7</v>
      </c>
      <c r="C46" s="99" t="s">
        <v>39</v>
      </c>
      <c r="D46" s="71" t="s">
        <v>24</v>
      </c>
      <c r="E46" s="52">
        <v>2</v>
      </c>
      <c r="F46" s="14"/>
      <c r="G46" s="13">
        <v>0</v>
      </c>
      <c r="H46" s="14"/>
      <c r="I46" s="13">
        <f>E46*G46</f>
        <v>0</v>
      </c>
    </row>
    <row r="47" spans="1:11" x14ac:dyDescent="0.25">
      <c r="A47" s="96" t="s">
        <v>28</v>
      </c>
      <c r="B47" s="96" t="s">
        <v>7</v>
      </c>
      <c r="C47" s="99" t="s">
        <v>60</v>
      </c>
      <c r="D47" s="71" t="s">
        <v>24</v>
      </c>
      <c r="E47" s="52">
        <v>2</v>
      </c>
      <c r="F47" s="14"/>
      <c r="G47" s="13">
        <v>0</v>
      </c>
      <c r="H47" s="14"/>
      <c r="I47" s="13">
        <f>E47*G47</f>
        <v>0</v>
      </c>
    </row>
    <row r="48" spans="1:11" ht="25.5" x14ac:dyDescent="0.25">
      <c r="A48" s="21" t="s">
        <v>29</v>
      </c>
      <c r="B48" s="21" t="s">
        <v>11</v>
      </c>
      <c r="C48" s="100" t="s">
        <v>61</v>
      </c>
      <c r="D48" s="22" t="s">
        <v>24</v>
      </c>
      <c r="E48" s="67">
        <v>2</v>
      </c>
      <c r="F48" s="23">
        <v>0</v>
      </c>
      <c r="G48" s="24"/>
      <c r="H48" s="23">
        <f>E48*F48</f>
        <v>0</v>
      </c>
      <c r="I48" s="24"/>
    </row>
    <row r="49" spans="1:13" ht="15.75" thickBot="1" x14ac:dyDescent="0.3">
      <c r="A49" s="97" t="s">
        <v>30</v>
      </c>
      <c r="B49" s="97" t="s">
        <v>7</v>
      </c>
      <c r="C49" s="101" t="s">
        <v>62</v>
      </c>
      <c r="D49" s="12" t="s">
        <v>24</v>
      </c>
      <c r="E49" s="53">
        <v>2</v>
      </c>
      <c r="F49" s="25"/>
      <c r="G49" s="26">
        <v>0</v>
      </c>
      <c r="H49" s="25"/>
      <c r="I49" s="26">
        <f>E49*G49</f>
        <v>0</v>
      </c>
    </row>
    <row r="50" spans="1:13" ht="15.75" thickBot="1" x14ac:dyDescent="0.3">
      <c r="A50" s="116"/>
      <c r="B50" s="116"/>
      <c r="C50" s="447" t="s">
        <v>16</v>
      </c>
      <c r="D50" s="447"/>
      <c r="E50" s="448"/>
      <c r="F50" s="72"/>
      <c r="G50" s="73"/>
      <c r="H50" s="37">
        <f>SUM(H43:H49)</f>
        <v>0</v>
      </c>
      <c r="I50" s="74">
        <f>SUM(I43:I49)</f>
        <v>0</v>
      </c>
    </row>
    <row r="51" spans="1:13" ht="15.75" thickBot="1" x14ac:dyDescent="0.3">
      <c r="A51" s="75"/>
      <c r="B51" s="75"/>
      <c r="C51" s="447" t="s">
        <v>17</v>
      </c>
      <c r="D51" s="447"/>
      <c r="E51" s="448"/>
      <c r="F51" s="72"/>
      <c r="G51" s="73"/>
      <c r="H51" s="76"/>
      <c r="I51" s="74">
        <f>H50+I50</f>
        <v>0</v>
      </c>
    </row>
    <row r="52" spans="1:13" ht="15.75" thickBot="1" x14ac:dyDescent="0.3">
      <c r="A52" s="4"/>
      <c r="B52" s="5"/>
      <c r="C52" s="449" t="s">
        <v>131</v>
      </c>
      <c r="D52" s="449"/>
      <c r="E52" s="449"/>
      <c r="F52" s="449"/>
      <c r="G52" s="77"/>
      <c r="H52" s="77"/>
      <c r="I52" s="78"/>
    </row>
    <row r="53" spans="1:13" ht="25.5" x14ac:dyDescent="0.25">
      <c r="A53" s="173" t="s">
        <v>18</v>
      </c>
      <c r="B53" s="169" t="s">
        <v>7</v>
      </c>
      <c r="C53" s="170" t="s">
        <v>63</v>
      </c>
      <c r="D53" s="185" t="s">
        <v>8</v>
      </c>
      <c r="E53" s="186">
        <f>0.31*6+0.106*8</f>
        <v>2.7079999999999997</v>
      </c>
      <c r="F53" s="187"/>
      <c r="G53" s="188">
        <v>0</v>
      </c>
      <c r="H53" s="174"/>
      <c r="I53" s="164">
        <f>E53*G53</f>
        <v>0</v>
      </c>
    </row>
    <row r="54" spans="1:13" ht="43.5" customHeight="1" x14ac:dyDescent="0.25">
      <c r="A54" s="171" t="s">
        <v>20</v>
      </c>
      <c r="B54" s="159" t="s">
        <v>11</v>
      </c>
      <c r="C54" s="160" t="s">
        <v>64</v>
      </c>
      <c r="D54" s="161" t="s">
        <v>8</v>
      </c>
      <c r="E54" s="189">
        <f>1.25*E53</f>
        <v>3.3849999999999998</v>
      </c>
      <c r="F54" s="190">
        <v>0</v>
      </c>
      <c r="G54" s="183"/>
      <c r="H54" s="163">
        <f>E54*F54</f>
        <v>0</v>
      </c>
      <c r="I54" s="172"/>
    </row>
    <row r="55" spans="1:13" ht="51" x14ac:dyDescent="0.25">
      <c r="A55" s="106" t="s">
        <v>21</v>
      </c>
      <c r="B55" s="169" t="s">
        <v>7</v>
      </c>
      <c r="C55" s="170" t="s">
        <v>166</v>
      </c>
      <c r="D55" s="109" t="s">
        <v>8</v>
      </c>
      <c r="E55" s="166">
        <v>5.87</v>
      </c>
      <c r="F55" s="176"/>
      <c r="G55" s="182">
        <v>0</v>
      </c>
      <c r="H55" s="111"/>
      <c r="I55" s="114">
        <f>E55*G55</f>
        <v>0</v>
      </c>
      <c r="K55" s="40">
        <f>K56+K58+K59+K60+K61</f>
        <v>4.72</v>
      </c>
      <c r="L55" s="40">
        <f>0.23*E56</f>
        <v>1.1500000000000001</v>
      </c>
      <c r="M55" s="40">
        <f>K55+L55</f>
        <v>5.87</v>
      </c>
    </row>
    <row r="56" spans="1:13" x14ac:dyDescent="0.25">
      <c r="A56" s="125" t="s">
        <v>22</v>
      </c>
      <c r="B56" s="126" t="s">
        <v>11</v>
      </c>
      <c r="C56" s="155" t="s">
        <v>65</v>
      </c>
      <c r="D56" s="157" t="s">
        <v>24</v>
      </c>
      <c r="E56" s="158">
        <v>5</v>
      </c>
      <c r="F56" s="175">
        <v>0</v>
      </c>
      <c r="G56" s="181"/>
      <c r="H56" s="128">
        <f t="shared" ref="H56:H65" si="3">E56*F56</f>
        <v>0</v>
      </c>
      <c r="I56" s="129"/>
      <c r="K56" s="40">
        <f>0.18*E56</f>
        <v>0.89999999999999991</v>
      </c>
    </row>
    <row r="57" spans="1:13" ht="25.5" x14ac:dyDescent="0.25">
      <c r="A57" s="125" t="s">
        <v>23</v>
      </c>
      <c r="B57" s="159" t="s">
        <v>11</v>
      </c>
      <c r="C57" s="160" t="s">
        <v>68</v>
      </c>
      <c r="D57" s="157" t="s">
        <v>24</v>
      </c>
      <c r="E57" s="158">
        <v>3</v>
      </c>
      <c r="F57" s="175">
        <v>0</v>
      </c>
      <c r="G57" s="181"/>
      <c r="H57" s="128">
        <f>E57*F57</f>
        <v>0</v>
      </c>
      <c r="I57" s="129"/>
      <c r="K57" s="40">
        <f>0.16*E57</f>
        <v>0.48</v>
      </c>
    </row>
    <row r="58" spans="1:13" ht="28.5" customHeight="1" x14ac:dyDescent="0.25">
      <c r="A58" s="125" t="s">
        <v>67</v>
      </c>
      <c r="B58" s="159" t="s">
        <v>11</v>
      </c>
      <c r="C58" s="160" t="s">
        <v>66</v>
      </c>
      <c r="D58" s="157" t="s">
        <v>24</v>
      </c>
      <c r="E58" s="158">
        <v>6</v>
      </c>
      <c r="F58" s="175">
        <v>0</v>
      </c>
      <c r="G58" s="181"/>
      <c r="H58" s="128">
        <f t="shared" si="3"/>
        <v>0</v>
      </c>
      <c r="I58" s="129"/>
      <c r="K58" s="40">
        <f>0.24*E58</f>
        <v>1.44</v>
      </c>
    </row>
    <row r="59" spans="1:13" x14ac:dyDescent="0.25">
      <c r="A59" s="125" t="s">
        <v>69</v>
      </c>
      <c r="B59" s="159" t="s">
        <v>11</v>
      </c>
      <c r="C59" s="160" t="s">
        <v>70</v>
      </c>
      <c r="D59" s="157" t="s">
        <v>24</v>
      </c>
      <c r="E59" s="158">
        <v>5</v>
      </c>
      <c r="F59" s="175">
        <v>0</v>
      </c>
      <c r="G59" s="181"/>
      <c r="H59" s="128">
        <f t="shared" si="3"/>
        <v>0</v>
      </c>
      <c r="I59" s="129"/>
      <c r="K59" s="40">
        <f>0.1*E59</f>
        <v>0.5</v>
      </c>
    </row>
    <row r="60" spans="1:13" x14ac:dyDescent="0.25">
      <c r="A60" s="125" t="s">
        <v>71</v>
      </c>
      <c r="B60" s="126" t="s">
        <v>11</v>
      </c>
      <c r="C60" s="155" t="s">
        <v>72</v>
      </c>
      <c r="D60" s="157" t="s">
        <v>24</v>
      </c>
      <c r="E60" s="158">
        <v>9</v>
      </c>
      <c r="F60" s="175">
        <v>0</v>
      </c>
      <c r="G60" s="181"/>
      <c r="H60" s="128">
        <f t="shared" si="3"/>
        <v>0</v>
      </c>
      <c r="I60" s="129"/>
      <c r="K60" s="40">
        <f>0.02*E60</f>
        <v>0.18</v>
      </c>
    </row>
    <row r="61" spans="1:13" x14ac:dyDescent="0.25">
      <c r="A61" s="125" t="s">
        <v>73</v>
      </c>
      <c r="B61" s="126" t="s">
        <v>11</v>
      </c>
      <c r="C61" s="155" t="s">
        <v>106</v>
      </c>
      <c r="D61" s="157" t="s">
        <v>24</v>
      </c>
      <c r="E61" s="158">
        <v>2</v>
      </c>
      <c r="F61" s="175">
        <v>0</v>
      </c>
      <c r="G61" s="181"/>
      <c r="H61" s="128">
        <f t="shared" si="3"/>
        <v>0</v>
      </c>
      <c r="I61" s="129"/>
      <c r="K61" s="40">
        <f>0.85*E61</f>
        <v>1.7</v>
      </c>
    </row>
    <row r="62" spans="1:13" x14ac:dyDescent="0.25">
      <c r="A62" s="125" t="s">
        <v>132</v>
      </c>
      <c r="B62" s="126" t="s">
        <v>11</v>
      </c>
      <c r="C62" s="155" t="s">
        <v>89</v>
      </c>
      <c r="D62" s="157" t="s">
        <v>24</v>
      </c>
      <c r="E62" s="158">
        <v>1</v>
      </c>
      <c r="F62" s="175">
        <v>0</v>
      </c>
      <c r="G62" s="181"/>
      <c r="H62" s="128">
        <f t="shared" si="3"/>
        <v>0</v>
      </c>
      <c r="I62" s="129"/>
    </row>
    <row r="63" spans="1:13" x14ac:dyDescent="0.25">
      <c r="A63" s="125" t="s">
        <v>133</v>
      </c>
      <c r="B63" s="126" t="s">
        <v>11</v>
      </c>
      <c r="C63" s="155" t="s">
        <v>92</v>
      </c>
      <c r="D63" s="157" t="s">
        <v>24</v>
      </c>
      <c r="E63" s="158">
        <v>3</v>
      </c>
      <c r="F63" s="175">
        <v>0</v>
      </c>
      <c r="G63" s="181"/>
      <c r="H63" s="128">
        <f t="shared" si="3"/>
        <v>0</v>
      </c>
      <c r="I63" s="129"/>
    </row>
    <row r="64" spans="1:13" x14ac:dyDescent="0.25">
      <c r="A64" s="125" t="s">
        <v>178</v>
      </c>
      <c r="B64" s="126" t="s">
        <v>11</v>
      </c>
      <c r="C64" s="155" t="s">
        <v>91</v>
      </c>
      <c r="D64" s="157" t="s">
        <v>24</v>
      </c>
      <c r="E64" s="158">
        <v>1</v>
      </c>
      <c r="F64" s="175">
        <v>0</v>
      </c>
      <c r="G64" s="181"/>
      <c r="H64" s="128">
        <f t="shared" si="3"/>
        <v>0</v>
      </c>
      <c r="I64" s="129"/>
    </row>
    <row r="65" spans="1:13" x14ac:dyDescent="0.25">
      <c r="A65" s="125" t="s">
        <v>179</v>
      </c>
      <c r="B65" s="126" t="s">
        <v>11</v>
      </c>
      <c r="C65" s="155" t="s">
        <v>74</v>
      </c>
      <c r="D65" s="157" t="s">
        <v>24</v>
      </c>
      <c r="E65" s="158">
        <v>11</v>
      </c>
      <c r="F65" s="175">
        <v>0</v>
      </c>
      <c r="G65" s="181"/>
      <c r="H65" s="128">
        <f t="shared" si="3"/>
        <v>0</v>
      </c>
      <c r="I65" s="129"/>
    </row>
    <row r="66" spans="1:13" ht="51" x14ac:dyDescent="0.25">
      <c r="A66" s="106" t="s">
        <v>28</v>
      </c>
      <c r="B66" s="107" t="s">
        <v>7</v>
      </c>
      <c r="C66" s="165" t="s">
        <v>168</v>
      </c>
      <c r="D66" s="109" t="s">
        <v>8</v>
      </c>
      <c r="E66" s="166">
        <v>13.24</v>
      </c>
      <c r="F66" s="176"/>
      <c r="G66" s="182">
        <v>0</v>
      </c>
      <c r="H66" s="111"/>
      <c r="I66" s="114">
        <f>E66*G66</f>
        <v>0</v>
      </c>
      <c r="K66" s="40">
        <f>K67+K68+K69+K70+K71+K72</f>
        <v>9.0400000000000009</v>
      </c>
      <c r="L66" s="40">
        <f>0.7*6</f>
        <v>4.1999999999999993</v>
      </c>
      <c r="M66" s="40">
        <f>K66+L66</f>
        <v>13.24</v>
      </c>
    </row>
    <row r="67" spans="1:13" x14ac:dyDescent="0.25">
      <c r="A67" s="171" t="s">
        <v>29</v>
      </c>
      <c r="B67" s="159" t="s">
        <v>11</v>
      </c>
      <c r="C67" s="160" t="s">
        <v>75</v>
      </c>
      <c r="D67" s="161" t="s">
        <v>24</v>
      </c>
      <c r="E67" s="162">
        <v>6</v>
      </c>
      <c r="F67" s="177">
        <v>0</v>
      </c>
      <c r="G67" s="183"/>
      <c r="H67" s="163">
        <f t="shared" ref="H67:H75" si="4">E67*F67</f>
        <v>0</v>
      </c>
      <c r="I67" s="172"/>
      <c r="K67" s="40">
        <f>0.38*E67</f>
        <v>2.2800000000000002</v>
      </c>
    </row>
    <row r="68" spans="1:13" ht="25.5" x14ac:dyDescent="0.25">
      <c r="A68" s="171" t="s">
        <v>58</v>
      </c>
      <c r="B68" s="159" t="s">
        <v>11</v>
      </c>
      <c r="C68" s="160" t="s">
        <v>76</v>
      </c>
      <c r="D68" s="161" t="s">
        <v>24</v>
      </c>
      <c r="E68" s="162">
        <v>6</v>
      </c>
      <c r="F68" s="177">
        <v>0</v>
      </c>
      <c r="G68" s="183"/>
      <c r="H68" s="163">
        <f t="shared" si="4"/>
        <v>0</v>
      </c>
      <c r="I68" s="172"/>
      <c r="K68" s="40">
        <f>0.265*E68</f>
        <v>1.59</v>
      </c>
    </row>
    <row r="69" spans="1:13" ht="25.5" x14ac:dyDescent="0.25">
      <c r="A69" s="171" t="s">
        <v>77</v>
      </c>
      <c r="B69" s="159" t="s">
        <v>11</v>
      </c>
      <c r="C69" s="160" t="s">
        <v>78</v>
      </c>
      <c r="D69" s="161" t="s">
        <v>24</v>
      </c>
      <c r="E69" s="162">
        <v>8</v>
      </c>
      <c r="F69" s="177">
        <v>0</v>
      </c>
      <c r="G69" s="183"/>
      <c r="H69" s="163">
        <f t="shared" si="4"/>
        <v>0</v>
      </c>
      <c r="I69" s="172"/>
      <c r="K69" s="40">
        <f>0.4*E69</f>
        <v>3.2</v>
      </c>
    </row>
    <row r="70" spans="1:13" ht="24" customHeight="1" x14ac:dyDescent="0.25">
      <c r="A70" s="171" t="s">
        <v>79</v>
      </c>
      <c r="B70" s="159" t="s">
        <v>11</v>
      </c>
      <c r="C70" s="160" t="s">
        <v>80</v>
      </c>
      <c r="D70" s="161" t="s">
        <v>24</v>
      </c>
      <c r="E70" s="162">
        <v>6</v>
      </c>
      <c r="F70" s="177">
        <v>0</v>
      </c>
      <c r="G70" s="183"/>
      <c r="H70" s="163">
        <f t="shared" si="4"/>
        <v>0</v>
      </c>
      <c r="I70" s="172"/>
      <c r="K70" s="40">
        <f>0.27*E70</f>
        <v>1.62</v>
      </c>
    </row>
    <row r="71" spans="1:13" ht="36" customHeight="1" x14ac:dyDescent="0.25">
      <c r="A71" s="171" t="s">
        <v>81</v>
      </c>
      <c r="B71" s="159" t="s">
        <v>11</v>
      </c>
      <c r="C71" s="160" t="s">
        <v>99</v>
      </c>
      <c r="D71" s="161" t="s">
        <v>24</v>
      </c>
      <c r="E71" s="162">
        <v>3</v>
      </c>
      <c r="F71" s="177">
        <v>0</v>
      </c>
      <c r="G71" s="183"/>
      <c r="H71" s="163">
        <f>E71*F71</f>
        <v>0</v>
      </c>
      <c r="I71" s="172"/>
      <c r="K71" s="40">
        <f>0.05*E71</f>
        <v>0.15000000000000002</v>
      </c>
    </row>
    <row r="72" spans="1:13" x14ac:dyDescent="0.25">
      <c r="A72" s="171" t="s">
        <v>82</v>
      </c>
      <c r="B72" s="159" t="s">
        <v>11</v>
      </c>
      <c r="C72" s="155" t="s">
        <v>72</v>
      </c>
      <c r="D72" s="157" t="s">
        <v>24</v>
      </c>
      <c r="E72" s="158">
        <v>10</v>
      </c>
      <c r="F72" s="177">
        <v>0</v>
      </c>
      <c r="G72" s="181"/>
      <c r="H72" s="163">
        <f t="shared" si="4"/>
        <v>0</v>
      </c>
      <c r="I72" s="129"/>
      <c r="K72" s="40">
        <f>0.02*E72</f>
        <v>0.2</v>
      </c>
    </row>
    <row r="73" spans="1:13" x14ac:dyDescent="0.25">
      <c r="A73" s="171" t="s">
        <v>111</v>
      </c>
      <c r="B73" s="159" t="s">
        <v>11</v>
      </c>
      <c r="C73" s="155" t="s">
        <v>91</v>
      </c>
      <c r="D73" s="157" t="s">
        <v>24</v>
      </c>
      <c r="E73" s="158">
        <f>1+1+1</f>
        <v>3</v>
      </c>
      <c r="F73" s="177">
        <v>0</v>
      </c>
      <c r="G73" s="181"/>
      <c r="H73" s="163">
        <f t="shared" ref="H73:H74" si="5">E73*F73</f>
        <v>0</v>
      </c>
      <c r="I73" s="129"/>
    </row>
    <row r="74" spans="1:13" x14ac:dyDescent="0.25">
      <c r="A74" s="171" t="s">
        <v>112</v>
      </c>
      <c r="B74" s="159" t="s">
        <v>11</v>
      </c>
      <c r="C74" s="155" t="s">
        <v>121</v>
      </c>
      <c r="D74" s="157" t="s">
        <v>24</v>
      </c>
      <c r="E74" s="158">
        <v>3</v>
      </c>
      <c r="F74" s="177">
        <v>0</v>
      </c>
      <c r="G74" s="181"/>
      <c r="H74" s="163">
        <f t="shared" si="5"/>
        <v>0</v>
      </c>
      <c r="I74" s="129"/>
    </row>
    <row r="75" spans="1:13" x14ac:dyDescent="0.25">
      <c r="A75" s="171" t="s">
        <v>113</v>
      </c>
      <c r="B75" s="159" t="s">
        <v>11</v>
      </c>
      <c r="C75" s="155" t="s">
        <v>74</v>
      </c>
      <c r="D75" s="157" t="s">
        <v>24</v>
      </c>
      <c r="E75" s="158">
        <v>16</v>
      </c>
      <c r="F75" s="177">
        <v>0</v>
      </c>
      <c r="G75" s="181"/>
      <c r="H75" s="163">
        <f t="shared" si="4"/>
        <v>0</v>
      </c>
      <c r="I75" s="129"/>
    </row>
    <row r="76" spans="1:13" ht="38.25" x14ac:dyDescent="0.25">
      <c r="A76" s="173" t="s">
        <v>30</v>
      </c>
      <c r="B76" s="169" t="s">
        <v>7</v>
      </c>
      <c r="C76" s="165" t="s">
        <v>142</v>
      </c>
      <c r="D76" s="109" t="s">
        <v>19</v>
      </c>
      <c r="E76" s="166">
        <v>1.24</v>
      </c>
      <c r="F76" s="178"/>
      <c r="G76" s="182">
        <v>0</v>
      </c>
      <c r="H76" s="174"/>
      <c r="I76" s="114">
        <f>E76*G76</f>
        <v>0</v>
      </c>
    </row>
    <row r="77" spans="1:13" ht="28.5" customHeight="1" x14ac:dyDescent="0.25">
      <c r="A77" s="171" t="s">
        <v>25</v>
      </c>
      <c r="B77" s="159" t="s">
        <v>11</v>
      </c>
      <c r="C77" s="155" t="s">
        <v>116</v>
      </c>
      <c r="D77" s="157" t="s">
        <v>19</v>
      </c>
      <c r="E77" s="158">
        <v>1.24</v>
      </c>
      <c r="F77" s="177">
        <v>0</v>
      </c>
      <c r="G77" s="181"/>
      <c r="H77" s="163">
        <f>E77*F77</f>
        <v>0</v>
      </c>
      <c r="I77" s="129"/>
    </row>
    <row r="78" spans="1:13" ht="28.5" customHeight="1" x14ac:dyDescent="0.25">
      <c r="A78" s="171" t="s">
        <v>26</v>
      </c>
      <c r="B78" s="159" t="s">
        <v>11</v>
      </c>
      <c r="C78" s="155" t="s">
        <v>143</v>
      </c>
      <c r="D78" s="157" t="s">
        <v>24</v>
      </c>
      <c r="E78" s="158">
        <v>3</v>
      </c>
      <c r="F78" s="177">
        <v>0</v>
      </c>
      <c r="G78" s="181"/>
      <c r="H78" s="163">
        <f>E78*F78</f>
        <v>0</v>
      </c>
      <c r="I78" s="129"/>
    </row>
    <row r="79" spans="1:13" ht="28.5" customHeight="1" x14ac:dyDescent="0.25">
      <c r="A79" s="173" t="s">
        <v>35</v>
      </c>
      <c r="B79" s="169" t="s">
        <v>7</v>
      </c>
      <c r="C79" s="165" t="s">
        <v>146</v>
      </c>
      <c r="D79" s="109" t="s">
        <v>31</v>
      </c>
      <c r="E79" s="166">
        <f>25.7*2/1000</f>
        <v>5.1400000000000001E-2</v>
      </c>
      <c r="F79" s="178"/>
      <c r="G79" s="182">
        <v>0</v>
      </c>
      <c r="H79" s="174"/>
      <c r="I79" s="114">
        <f>E79*G79</f>
        <v>0</v>
      </c>
    </row>
    <row r="80" spans="1:13" ht="28.5" customHeight="1" x14ac:dyDescent="0.25">
      <c r="A80" s="171" t="s">
        <v>27</v>
      </c>
      <c r="B80" s="159" t="s">
        <v>11</v>
      </c>
      <c r="C80" s="155" t="s">
        <v>145</v>
      </c>
      <c r="D80" s="157" t="s">
        <v>24</v>
      </c>
      <c r="E80" s="158">
        <v>2</v>
      </c>
      <c r="F80" s="177">
        <v>0</v>
      </c>
      <c r="G80" s="181"/>
      <c r="H80" s="163">
        <f>E80*F80</f>
        <v>0</v>
      </c>
      <c r="I80" s="129"/>
    </row>
    <row r="81" spans="1:13" ht="42.75" customHeight="1" x14ac:dyDescent="0.25">
      <c r="A81" s="173" t="s">
        <v>36</v>
      </c>
      <c r="B81" s="169" t="s">
        <v>7</v>
      </c>
      <c r="C81" s="165" t="s">
        <v>148</v>
      </c>
      <c r="D81" s="109" t="s">
        <v>19</v>
      </c>
      <c r="E81" s="166">
        <v>3.09</v>
      </c>
      <c r="F81" s="178"/>
      <c r="G81" s="182">
        <v>0</v>
      </c>
      <c r="H81" s="174"/>
      <c r="I81" s="114">
        <f>E81*G81</f>
        <v>0</v>
      </c>
    </row>
    <row r="82" spans="1:13" ht="38.25" x14ac:dyDescent="0.25">
      <c r="A82" s="171" t="s">
        <v>10</v>
      </c>
      <c r="B82" s="159" t="s">
        <v>11</v>
      </c>
      <c r="C82" s="155" t="s">
        <v>144</v>
      </c>
      <c r="D82" s="157" t="s">
        <v>19</v>
      </c>
      <c r="E82" s="158">
        <v>3.09</v>
      </c>
      <c r="F82" s="177">
        <v>0</v>
      </c>
      <c r="G82" s="181"/>
      <c r="H82" s="163">
        <f>E82*F82</f>
        <v>0</v>
      </c>
      <c r="I82" s="129"/>
    </row>
    <row r="83" spans="1:13" x14ac:dyDescent="0.25">
      <c r="A83" s="171" t="s">
        <v>41</v>
      </c>
      <c r="B83" s="159" t="s">
        <v>11</v>
      </c>
      <c r="C83" s="155" t="s">
        <v>143</v>
      </c>
      <c r="D83" s="157" t="s">
        <v>24</v>
      </c>
      <c r="E83" s="158">
        <v>8</v>
      </c>
      <c r="F83" s="177">
        <v>0</v>
      </c>
      <c r="G83" s="181"/>
      <c r="H83" s="163">
        <f>E83*F83</f>
        <v>0</v>
      </c>
      <c r="I83" s="129"/>
    </row>
    <row r="84" spans="1:13" ht="39" customHeight="1" x14ac:dyDescent="0.25">
      <c r="A84" s="173" t="s">
        <v>37</v>
      </c>
      <c r="B84" s="169" t="s">
        <v>7</v>
      </c>
      <c r="C84" s="165" t="s">
        <v>117</v>
      </c>
      <c r="D84" s="109" t="s">
        <v>24</v>
      </c>
      <c r="E84" s="166">
        <v>6</v>
      </c>
      <c r="F84" s="178"/>
      <c r="G84" s="182">
        <v>0</v>
      </c>
      <c r="H84" s="174"/>
      <c r="I84" s="114">
        <f>E84*G84</f>
        <v>0</v>
      </c>
    </row>
    <row r="85" spans="1:13" ht="25.5" x14ac:dyDescent="0.25">
      <c r="A85" s="171" t="s">
        <v>13</v>
      </c>
      <c r="B85" s="159" t="s">
        <v>11</v>
      </c>
      <c r="C85" s="155" t="s">
        <v>147</v>
      </c>
      <c r="D85" s="157" t="s">
        <v>24</v>
      </c>
      <c r="E85" s="158">
        <v>6</v>
      </c>
      <c r="F85" s="177">
        <v>0</v>
      </c>
      <c r="G85" s="181"/>
      <c r="H85" s="163">
        <f>E85*F85</f>
        <v>0</v>
      </c>
      <c r="I85" s="129"/>
    </row>
    <row r="86" spans="1:13" ht="53.25" customHeight="1" x14ac:dyDescent="0.25">
      <c r="A86" s="106" t="s">
        <v>38</v>
      </c>
      <c r="B86" s="107" t="s">
        <v>7</v>
      </c>
      <c r="C86" s="165" t="s">
        <v>167</v>
      </c>
      <c r="D86" s="109" t="s">
        <v>8</v>
      </c>
      <c r="E86" s="166">
        <v>2.93</v>
      </c>
      <c r="F86" s="179"/>
      <c r="G86" s="182">
        <v>0</v>
      </c>
      <c r="H86" s="111"/>
      <c r="I86" s="114">
        <f>E86*G86</f>
        <v>0</v>
      </c>
      <c r="K86" s="40">
        <f>K87+K88+K89+K90+K91</f>
        <v>1.78</v>
      </c>
      <c r="L86" s="40">
        <f>0.23*5</f>
        <v>1.1500000000000001</v>
      </c>
      <c r="M86" s="40">
        <f>K86+L86</f>
        <v>2.93</v>
      </c>
    </row>
    <row r="87" spans="1:13" x14ac:dyDescent="0.25">
      <c r="A87" s="125" t="s">
        <v>42</v>
      </c>
      <c r="B87" s="126" t="s">
        <v>11</v>
      </c>
      <c r="C87" s="155" t="s">
        <v>65</v>
      </c>
      <c r="D87" s="157" t="s">
        <v>24</v>
      </c>
      <c r="E87" s="158">
        <v>3</v>
      </c>
      <c r="F87" s="175">
        <v>0</v>
      </c>
      <c r="G87" s="182"/>
      <c r="H87" s="128">
        <f t="shared" ref="H87:H93" si="6">E87*F87</f>
        <v>0</v>
      </c>
      <c r="I87" s="114"/>
      <c r="K87" s="40">
        <f>E87*0.18</f>
        <v>0.54</v>
      </c>
    </row>
    <row r="88" spans="1:13" ht="25.5" x14ac:dyDescent="0.25">
      <c r="A88" s="125" t="s">
        <v>43</v>
      </c>
      <c r="B88" s="159" t="s">
        <v>11</v>
      </c>
      <c r="C88" s="160" t="s">
        <v>68</v>
      </c>
      <c r="D88" s="157" t="s">
        <v>24</v>
      </c>
      <c r="E88" s="158">
        <f>3</f>
        <v>3</v>
      </c>
      <c r="F88" s="175">
        <v>0</v>
      </c>
      <c r="G88" s="182"/>
      <c r="H88" s="128">
        <f t="shared" si="6"/>
        <v>0</v>
      </c>
      <c r="I88" s="114"/>
      <c r="K88" s="40">
        <v>0.16</v>
      </c>
    </row>
    <row r="89" spans="1:13" ht="25.5" x14ac:dyDescent="0.25">
      <c r="A89" s="125" t="s">
        <v>153</v>
      </c>
      <c r="B89" s="159" t="s">
        <v>11</v>
      </c>
      <c r="C89" s="160" t="s">
        <v>136</v>
      </c>
      <c r="D89" s="157" t="s">
        <v>24</v>
      </c>
      <c r="E89" s="158">
        <v>3</v>
      </c>
      <c r="F89" s="175">
        <v>0</v>
      </c>
      <c r="G89" s="182"/>
      <c r="H89" s="128">
        <f t="shared" si="6"/>
        <v>0</v>
      </c>
      <c r="I89" s="114"/>
      <c r="K89" s="40">
        <f>0.24*E89</f>
        <v>0.72</v>
      </c>
    </row>
    <row r="90" spans="1:13" x14ac:dyDescent="0.25">
      <c r="A90" s="125" t="s">
        <v>154</v>
      </c>
      <c r="B90" s="159" t="s">
        <v>11</v>
      </c>
      <c r="C90" s="160" t="s">
        <v>70</v>
      </c>
      <c r="D90" s="157" t="s">
        <v>24</v>
      </c>
      <c r="E90" s="158">
        <v>3</v>
      </c>
      <c r="F90" s="175">
        <v>0</v>
      </c>
      <c r="G90" s="182"/>
      <c r="H90" s="128">
        <f t="shared" si="6"/>
        <v>0</v>
      </c>
      <c r="I90" s="114"/>
      <c r="K90" s="40">
        <f>E90*0.1</f>
        <v>0.30000000000000004</v>
      </c>
    </row>
    <row r="91" spans="1:13" x14ac:dyDescent="0.25">
      <c r="A91" s="125" t="s">
        <v>155</v>
      </c>
      <c r="B91" s="126" t="s">
        <v>11</v>
      </c>
      <c r="C91" s="155" t="s">
        <v>72</v>
      </c>
      <c r="D91" s="157" t="s">
        <v>24</v>
      </c>
      <c r="E91" s="158">
        <v>3</v>
      </c>
      <c r="F91" s="175">
        <v>0</v>
      </c>
      <c r="G91" s="182"/>
      <c r="H91" s="128">
        <f t="shared" si="6"/>
        <v>0</v>
      </c>
      <c r="I91" s="114"/>
      <c r="K91" s="40">
        <f>0.02*3</f>
        <v>0.06</v>
      </c>
    </row>
    <row r="92" spans="1:13" x14ac:dyDescent="0.25">
      <c r="A92" s="125" t="s">
        <v>157</v>
      </c>
      <c r="B92" s="126" t="s">
        <v>11</v>
      </c>
      <c r="C92" s="160" t="s">
        <v>92</v>
      </c>
      <c r="D92" s="161" t="s">
        <v>24</v>
      </c>
      <c r="E92" s="162">
        <v>3</v>
      </c>
      <c r="F92" s="177">
        <v>0</v>
      </c>
      <c r="G92" s="184"/>
      <c r="H92" s="163">
        <f t="shared" si="6"/>
        <v>0</v>
      </c>
      <c r="I92" s="164"/>
    </row>
    <row r="93" spans="1:13" x14ac:dyDescent="0.25">
      <c r="A93" s="125" t="s">
        <v>158</v>
      </c>
      <c r="B93" s="126" t="s">
        <v>11</v>
      </c>
      <c r="C93" s="160" t="s">
        <v>105</v>
      </c>
      <c r="D93" s="161" t="s">
        <v>24</v>
      </c>
      <c r="E93" s="162">
        <v>6</v>
      </c>
      <c r="F93" s="177">
        <v>0</v>
      </c>
      <c r="G93" s="184"/>
      <c r="H93" s="163">
        <f t="shared" si="6"/>
        <v>0</v>
      </c>
      <c r="I93" s="164"/>
    </row>
    <row r="94" spans="1:13" ht="38.25" x14ac:dyDescent="0.25">
      <c r="A94" s="173" t="s">
        <v>40</v>
      </c>
      <c r="B94" s="169" t="s">
        <v>7</v>
      </c>
      <c r="C94" s="170" t="s">
        <v>181</v>
      </c>
      <c r="D94" s="185" t="s">
        <v>8</v>
      </c>
      <c r="E94" s="191">
        <f>0.85*E95</f>
        <v>5.95</v>
      </c>
      <c r="F94" s="178"/>
      <c r="G94" s="184">
        <v>0</v>
      </c>
      <c r="H94" s="174"/>
      <c r="I94" s="164">
        <f>E94*G94</f>
        <v>0</v>
      </c>
    </row>
    <row r="95" spans="1:13" x14ac:dyDescent="0.25">
      <c r="A95" s="171" t="s">
        <v>159</v>
      </c>
      <c r="B95" s="159" t="s">
        <v>11</v>
      </c>
      <c r="C95" s="160" t="s">
        <v>182</v>
      </c>
      <c r="D95" s="161" t="s">
        <v>24</v>
      </c>
      <c r="E95" s="162">
        <v>7</v>
      </c>
      <c r="F95" s="177">
        <v>0</v>
      </c>
      <c r="G95" s="184"/>
      <c r="H95" s="163">
        <f>E95*F95</f>
        <v>0</v>
      </c>
      <c r="I95" s="164"/>
    </row>
    <row r="96" spans="1:13" x14ac:dyDescent="0.25">
      <c r="A96" s="173" t="s">
        <v>46</v>
      </c>
      <c r="B96" s="169" t="s">
        <v>7</v>
      </c>
      <c r="C96" s="170" t="s">
        <v>83</v>
      </c>
      <c r="D96" s="185" t="s">
        <v>24</v>
      </c>
      <c r="E96" s="191">
        <f>E97+E99+E100+E98</f>
        <v>14</v>
      </c>
      <c r="F96" s="177"/>
      <c r="G96" s="184">
        <v>0</v>
      </c>
      <c r="H96" s="174"/>
      <c r="I96" s="164">
        <f>E96*G96</f>
        <v>0</v>
      </c>
    </row>
    <row r="97" spans="1:16" ht="25.5" x14ac:dyDescent="0.25">
      <c r="A97" s="125" t="s">
        <v>201</v>
      </c>
      <c r="B97" s="126" t="s">
        <v>11</v>
      </c>
      <c r="C97" s="155" t="s">
        <v>84</v>
      </c>
      <c r="D97" s="157" t="s">
        <v>24</v>
      </c>
      <c r="E97" s="158">
        <v>4</v>
      </c>
      <c r="F97" s="180">
        <v>0</v>
      </c>
      <c r="G97" s="181"/>
      <c r="H97" s="128">
        <f>E97*F97</f>
        <v>0</v>
      </c>
      <c r="I97" s="129"/>
    </row>
    <row r="98" spans="1:16" x14ac:dyDescent="0.25">
      <c r="A98" s="125" t="s">
        <v>202</v>
      </c>
      <c r="B98" s="126" t="s">
        <v>11</v>
      </c>
      <c r="C98" s="155" t="s">
        <v>169</v>
      </c>
      <c r="D98" s="157" t="s">
        <v>24</v>
      </c>
      <c r="E98" s="158">
        <v>4</v>
      </c>
      <c r="F98" s="180">
        <v>0</v>
      </c>
      <c r="G98" s="181"/>
      <c r="H98" s="128">
        <f>E98*F98</f>
        <v>0</v>
      </c>
      <c r="I98" s="129"/>
    </row>
    <row r="99" spans="1:16" ht="25.5" x14ac:dyDescent="0.25">
      <c r="A99" s="125" t="s">
        <v>203</v>
      </c>
      <c r="B99" s="126" t="s">
        <v>11</v>
      </c>
      <c r="C99" s="155" t="s">
        <v>104</v>
      </c>
      <c r="D99" s="157" t="s">
        <v>24</v>
      </c>
      <c r="E99" s="158">
        <v>3</v>
      </c>
      <c r="F99" s="180">
        <v>0</v>
      </c>
      <c r="G99" s="181"/>
      <c r="H99" s="128">
        <f>E99*F99</f>
        <v>0</v>
      </c>
      <c r="I99" s="129"/>
    </row>
    <row r="100" spans="1:16" ht="25.5" x14ac:dyDescent="0.25">
      <c r="A100" s="125" t="s">
        <v>204</v>
      </c>
      <c r="B100" s="126" t="s">
        <v>11</v>
      </c>
      <c r="C100" s="127" t="s">
        <v>103</v>
      </c>
      <c r="D100" s="167" t="s">
        <v>24</v>
      </c>
      <c r="E100" s="168">
        <v>3</v>
      </c>
      <c r="F100" s="180">
        <v>0</v>
      </c>
      <c r="G100" s="181"/>
      <c r="H100" s="128">
        <f>E100*F100</f>
        <v>0</v>
      </c>
      <c r="I100" s="129"/>
    </row>
    <row r="101" spans="1:16" s="36" customFormat="1" ht="25.5" x14ac:dyDescent="0.25">
      <c r="A101" s="192" t="s">
        <v>47</v>
      </c>
      <c r="B101" s="192" t="s">
        <v>7</v>
      </c>
      <c r="C101" s="165" t="s">
        <v>118</v>
      </c>
      <c r="D101" s="109" t="s">
        <v>19</v>
      </c>
      <c r="E101" s="193">
        <f>E43+E76</f>
        <v>10.07</v>
      </c>
      <c r="F101" s="187"/>
      <c r="G101" s="184">
        <v>0</v>
      </c>
      <c r="H101" s="194"/>
      <c r="I101" s="195">
        <f>E101*G101</f>
        <v>0</v>
      </c>
      <c r="J101" s="34"/>
      <c r="K101" s="305"/>
      <c r="L101" s="305"/>
      <c r="M101" s="305"/>
      <c r="N101" s="305"/>
      <c r="O101" s="305"/>
      <c r="P101" s="305"/>
    </row>
    <row r="102" spans="1:16" s="36" customFormat="1" ht="25.5" x14ac:dyDescent="0.25">
      <c r="A102" s="192" t="s">
        <v>48</v>
      </c>
      <c r="B102" s="192" t="s">
        <v>7</v>
      </c>
      <c r="C102" s="165" t="s">
        <v>119</v>
      </c>
      <c r="D102" s="109" t="s">
        <v>19</v>
      </c>
      <c r="E102" s="193">
        <f>E37+E81</f>
        <v>74.34</v>
      </c>
      <c r="F102" s="176"/>
      <c r="G102" s="182">
        <v>0</v>
      </c>
      <c r="H102" s="196"/>
      <c r="I102" s="112">
        <f>E102*G102</f>
        <v>0</v>
      </c>
      <c r="J102" s="34"/>
      <c r="K102" s="305"/>
      <c r="L102" s="305"/>
      <c r="M102" s="305"/>
      <c r="N102" s="305"/>
      <c r="O102" s="305"/>
      <c r="P102" s="305"/>
    </row>
    <row r="103" spans="1:16" s="36" customFormat="1" ht="25.5" x14ac:dyDescent="0.25">
      <c r="A103" s="192" t="s">
        <v>49</v>
      </c>
      <c r="B103" s="192" t="s">
        <v>7</v>
      </c>
      <c r="C103" s="165" t="s">
        <v>150</v>
      </c>
      <c r="D103" s="109" t="s">
        <v>19</v>
      </c>
      <c r="E103" s="193">
        <f>E34</f>
        <v>109.8</v>
      </c>
      <c r="F103" s="176"/>
      <c r="G103" s="182">
        <v>0</v>
      </c>
      <c r="H103" s="196"/>
      <c r="I103" s="112">
        <f t="shared" ref="I103" si="7">E103*G103</f>
        <v>0</v>
      </c>
      <c r="J103" s="34"/>
      <c r="K103" s="305"/>
      <c r="L103" s="305"/>
      <c r="M103" s="305"/>
      <c r="N103" s="305"/>
      <c r="O103" s="305"/>
      <c r="P103" s="305"/>
    </row>
    <row r="104" spans="1:16" s="36" customFormat="1" ht="26.25" thickBot="1" x14ac:dyDescent="0.3">
      <c r="A104" s="197" t="s">
        <v>162</v>
      </c>
      <c r="B104" s="197" t="s">
        <v>7</v>
      </c>
      <c r="C104" s="198" t="s">
        <v>85</v>
      </c>
      <c r="D104" s="199" t="s">
        <v>19</v>
      </c>
      <c r="E104" s="200">
        <f>E101+E102+E103</f>
        <v>194.20999999999998</v>
      </c>
      <c r="F104" s="201"/>
      <c r="G104" s="202">
        <v>0</v>
      </c>
      <c r="H104" s="203"/>
      <c r="I104" s="204">
        <f>E104*G104</f>
        <v>0</v>
      </c>
      <c r="J104" s="34"/>
      <c r="K104" s="305"/>
      <c r="L104" s="305"/>
      <c r="M104" s="305"/>
      <c r="N104" s="305"/>
      <c r="O104" s="305"/>
      <c r="P104" s="305"/>
    </row>
    <row r="105" spans="1:16" s="36" customFormat="1" x14ac:dyDescent="0.25">
      <c r="A105" s="117"/>
      <c r="B105" s="205"/>
      <c r="C105" s="206" t="s">
        <v>16</v>
      </c>
      <c r="D105" s="120"/>
      <c r="E105" s="120"/>
      <c r="F105" s="207"/>
      <c r="G105" s="188"/>
      <c r="H105" s="313">
        <f>SUM(H53:H104)</f>
        <v>0</v>
      </c>
      <c r="I105" s="311">
        <f>SUM(I53:I104)</f>
        <v>0</v>
      </c>
      <c r="J105" s="34"/>
      <c r="K105" s="305"/>
      <c r="L105" s="305"/>
      <c r="M105" s="305"/>
      <c r="N105" s="305"/>
      <c r="O105" s="305"/>
      <c r="P105" s="305"/>
    </row>
    <row r="106" spans="1:16" s="36" customFormat="1" thickBot="1" x14ac:dyDescent="0.3">
      <c r="A106" s="210"/>
      <c r="B106" s="211"/>
      <c r="C106" s="212" t="s">
        <v>17</v>
      </c>
      <c r="D106" s="213"/>
      <c r="E106" s="214"/>
      <c r="F106" s="215"/>
      <c r="G106" s="216"/>
      <c r="H106" s="218"/>
      <c r="I106" s="312">
        <f>H105+I105</f>
        <v>0</v>
      </c>
      <c r="J106" s="34"/>
      <c r="K106" s="305"/>
      <c r="L106" s="305"/>
      <c r="M106" s="305"/>
      <c r="N106" s="305"/>
      <c r="O106" s="305"/>
      <c r="P106" s="305"/>
    </row>
    <row r="107" spans="1:16" s="87" customFormat="1" ht="21" thickBot="1" x14ac:dyDescent="0.3">
      <c r="A107" s="79"/>
      <c r="B107" s="80"/>
      <c r="C107" s="81" t="s">
        <v>152</v>
      </c>
      <c r="D107" s="82"/>
      <c r="E107" s="83"/>
      <c r="F107" s="84"/>
      <c r="G107" s="85"/>
      <c r="H107" s="86"/>
      <c r="I107" s="86">
        <f>I32+I41+I51+I106</f>
        <v>0</v>
      </c>
      <c r="J107" s="308"/>
      <c r="K107" s="306"/>
      <c r="L107" s="306"/>
      <c r="M107" s="306"/>
      <c r="N107" s="306"/>
      <c r="O107" s="306"/>
      <c r="P107" s="306"/>
    </row>
    <row r="108" spans="1:16" ht="15.75" thickBot="1" x14ac:dyDescent="0.3">
      <c r="A108" s="88"/>
      <c r="B108" s="89"/>
      <c r="C108" s="90" t="s">
        <v>86</v>
      </c>
      <c r="D108" s="6"/>
      <c r="E108" s="6"/>
      <c r="F108" s="91"/>
      <c r="G108" s="91"/>
      <c r="H108" s="91"/>
      <c r="I108" s="27">
        <f>I107/1.2*20%</f>
        <v>0</v>
      </c>
    </row>
    <row r="109" spans="1:16" s="34" customFormat="1" ht="15.75" x14ac:dyDescent="0.25">
      <c r="A109" s="92"/>
      <c r="B109" s="93"/>
      <c r="F109" s="105"/>
      <c r="G109" s="105"/>
      <c r="H109" s="32">
        <f>H105+H50+H31+H40</f>
        <v>0</v>
      </c>
      <c r="I109" s="32">
        <f>I105+I50+I40+I31</f>
        <v>0</v>
      </c>
      <c r="K109" s="305"/>
      <c r="L109" s="305"/>
      <c r="M109" s="305"/>
      <c r="N109" s="305"/>
      <c r="O109" s="305"/>
      <c r="P109" s="305"/>
    </row>
    <row r="111" spans="1:16" x14ac:dyDescent="0.25">
      <c r="E111" s="2"/>
    </row>
  </sheetData>
  <mergeCells count="21">
    <mergeCell ref="O26:P26"/>
    <mergeCell ref="A12:B12"/>
    <mergeCell ref="C12:I12"/>
    <mergeCell ref="G1:I1"/>
    <mergeCell ref="F2:I2"/>
    <mergeCell ref="C5:H5"/>
    <mergeCell ref="C6:H6"/>
    <mergeCell ref="A9:I10"/>
    <mergeCell ref="A2:C2"/>
    <mergeCell ref="C51:E51"/>
    <mergeCell ref="C52:F52"/>
    <mergeCell ref="F15:G15"/>
    <mergeCell ref="H15:I15"/>
    <mergeCell ref="A33:I33"/>
    <mergeCell ref="A42:I42"/>
    <mergeCell ref="C50:E50"/>
    <mergeCell ref="A15:A16"/>
    <mergeCell ref="B15:B16"/>
    <mergeCell ref="C15:C16"/>
    <mergeCell ref="D15:D16"/>
    <mergeCell ref="E15:E16"/>
  </mergeCells>
  <phoneticPr fontId="22" type="noConversion"/>
  <pageMargins left="0.70866141732283472" right="0.19685039370078741" top="0.74803149606299213" bottom="0.74803149606299213" header="0" footer="0.31496062992125984"/>
  <pageSetup paperSize="9" scale="67" orientation="portrait" r:id="rId1"/>
  <colBreaks count="1" manualBreakCount="1">
    <brk id="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4515-1C53-48E4-946E-8F8937172B1E}">
  <dimension ref="A1:P106"/>
  <sheetViews>
    <sheetView topLeftCell="A34" zoomScaleNormal="100" workbookViewId="0">
      <selection activeCell="C38" sqref="C38"/>
    </sheetView>
  </sheetViews>
  <sheetFormatPr defaultRowHeight="15" x14ac:dyDescent="0.25"/>
  <cols>
    <col min="1" max="1" width="6" style="38" customWidth="1"/>
    <col min="2" max="2" width="15.28515625" style="39" customWidth="1"/>
    <col min="3" max="3" width="35.140625" style="1" customWidth="1"/>
    <col min="4" max="4" width="7" style="1" customWidth="1"/>
    <col min="5" max="5" width="9.140625" style="1"/>
    <col min="6" max="9" width="16.7109375" style="2" customWidth="1"/>
    <col min="10" max="10" width="9.140625" style="31"/>
    <col min="11" max="11" width="11.42578125" style="40" bestFit="1" customWidth="1"/>
    <col min="12" max="16" width="9.140625" style="40"/>
    <col min="17" max="251" width="9.140625" style="1"/>
    <col min="252" max="252" width="6" style="1" customWidth="1"/>
    <col min="253" max="253" width="35.85546875" style="1" customWidth="1"/>
    <col min="254" max="254" width="5.140625" style="1" customWidth="1"/>
    <col min="255" max="260" width="9.140625" style="1"/>
    <col min="261" max="261" width="13.7109375" style="1" customWidth="1"/>
    <col min="262" max="265" width="16.7109375" style="1" customWidth="1"/>
    <col min="266" max="507" width="9.140625" style="1"/>
    <col min="508" max="508" width="6" style="1" customWidth="1"/>
    <col min="509" max="509" width="35.85546875" style="1" customWidth="1"/>
    <col min="510" max="510" width="5.140625" style="1" customWidth="1"/>
    <col min="511" max="516" width="9.140625" style="1"/>
    <col min="517" max="517" width="13.7109375" style="1" customWidth="1"/>
    <col min="518" max="521" width="16.7109375" style="1" customWidth="1"/>
    <col min="522" max="763" width="9.140625" style="1"/>
    <col min="764" max="764" width="6" style="1" customWidth="1"/>
    <col min="765" max="765" width="35.85546875" style="1" customWidth="1"/>
    <col min="766" max="766" width="5.140625" style="1" customWidth="1"/>
    <col min="767" max="772" width="9.140625" style="1"/>
    <col min="773" max="773" width="13.7109375" style="1" customWidth="1"/>
    <col min="774" max="777" width="16.7109375" style="1" customWidth="1"/>
    <col min="778" max="1019" width="9.140625" style="1"/>
    <col min="1020" max="1020" width="6" style="1" customWidth="1"/>
    <col min="1021" max="1021" width="35.85546875" style="1" customWidth="1"/>
    <col min="1022" max="1022" width="5.140625" style="1" customWidth="1"/>
    <col min="1023" max="1028" width="9.140625" style="1"/>
    <col min="1029" max="1029" width="13.7109375" style="1" customWidth="1"/>
    <col min="1030" max="1033" width="16.7109375" style="1" customWidth="1"/>
    <col min="1034" max="1275" width="9.140625" style="1"/>
    <col min="1276" max="1276" width="6" style="1" customWidth="1"/>
    <col min="1277" max="1277" width="35.85546875" style="1" customWidth="1"/>
    <col min="1278" max="1278" width="5.140625" style="1" customWidth="1"/>
    <col min="1279" max="1284" width="9.140625" style="1"/>
    <col min="1285" max="1285" width="13.7109375" style="1" customWidth="1"/>
    <col min="1286" max="1289" width="16.7109375" style="1" customWidth="1"/>
    <col min="1290" max="1531" width="9.140625" style="1"/>
    <col min="1532" max="1532" width="6" style="1" customWidth="1"/>
    <col min="1533" max="1533" width="35.85546875" style="1" customWidth="1"/>
    <col min="1534" max="1534" width="5.140625" style="1" customWidth="1"/>
    <col min="1535" max="1540" width="9.140625" style="1"/>
    <col min="1541" max="1541" width="13.7109375" style="1" customWidth="1"/>
    <col min="1542" max="1545" width="16.7109375" style="1" customWidth="1"/>
    <col min="1546" max="1787" width="9.140625" style="1"/>
    <col min="1788" max="1788" width="6" style="1" customWidth="1"/>
    <col min="1789" max="1789" width="35.85546875" style="1" customWidth="1"/>
    <col min="1790" max="1790" width="5.140625" style="1" customWidth="1"/>
    <col min="1791" max="1796" width="9.140625" style="1"/>
    <col min="1797" max="1797" width="13.7109375" style="1" customWidth="1"/>
    <col min="1798" max="1801" width="16.7109375" style="1" customWidth="1"/>
    <col min="1802" max="2043" width="9.140625" style="1"/>
    <col min="2044" max="2044" width="6" style="1" customWidth="1"/>
    <col min="2045" max="2045" width="35.85546875" style="1" customWidth="1"/>
    <col min="2046" max="2046" width="5.140625" style="1" customWidth="1"/>
    <col min="2047" max="2052" width="9.140625" style="1"/>
    <col min="2053" max="2053" width="13.7109375" style="1" customWidth="1"/>
    <col min="2054" max="2057" width="16.7109375" style="1" customWidth="1"/>
    <col min="2058" max="2299" width="9.140625" style="1"/>
    <col min="2300" max="2300" width="6" style="1" customWidth="1"/>
    <col min="2301" max="2301" width="35.85546875" style="1" customWidth="1"/>
    <col min="2302" max="2302" width="5.140625" style="1" customWidth="1"/>
    <col min="2303" max="2308" width="9.140625" style="1"/>
    <col min="2309" max="2309" width="13.7109375" style="1" customWidth="1"/>
    <col min="2310" max="2313" width="16.7109375" style="1" customWidth="1"/>
    <col min="2314" max="2555" width="9.140625" style="1"/>
    <col min="2556" max="2556" width="6" style="1" customWidth="1"/>
    <col min="2557" max="2557" width="35.85546875" style="1" customWidth="1"/>
    <col min="2558" max="2558" width="5.140625" style="1" customWidth="1"/>
    <col min="2559" max="2564" width="9.140625" style="1"/>
    <col min="2565" max="2565" width="13.7109375" style="1" customWidth="1"/>
    <col min="2566" max="2569" width="16.7109375" style="1" customWidth="1"/>
    <col min="2570" max="2811" width="9.140625" style="1"/>
    <col min="2812" max="2812" width="6" style="1" customWidth="1"/>
    <col min="2813" max="2813" width="35.85546875" style="1" customWidth="1"/>
    <col min="2814" max="2814" width="5.140625" style="1" customWidth="1"/>
    <col min="2815" max="2820" width="9.140625" style="1"/>
    <col min="2821" max="2821" width="13.7109375" style="1" customWidth="1"/>
    <col min="2822" max="2825" width="16.7109375" style="1" customWidth="1"/>
    <col min="2826" max="3067" width="9.140625" style="1"/>
    <col min="3068" max="3068" width="6" style="1" customWidth="1"/>
    <col min="3069" max="3069" width="35.85546875" style="1" customWidth="1"/>
    <col min="3070" max="3070" width="5.140625" style="1" customWidth="1"/>
    <col min="3071" max="3076" width="9.140625" style="1"/>
    <col min="3077" max="3077" width="13.7109375" style="1" customWidth="1"/>
    <col min="3078" max="3081" width="16.7109375" style="1" customWidth="1"/>
    <col min="3082" max="3323" width="9.140625" style="1"/>
    <col min="3324" max="3324" width="6" style="1" customWidth="1"/>
    <col min="3325" max="3325" width="35.85546875" style="1" customWidth="1"/>
    <col min="3326" max="3326" width="5.140625" style="1" customWidth="1"/>
    <col min="3327" max="3332" width="9.140625" style="1"/>
    <col min="3333" max="3333" width="13.7109375" style="1" customWidth="1"/>
    <col min="3334" max="3337" width="16.7109375" style="1" customWidth="1"/>
    <col min="3338" max="3579" width="9.140625" style="1"/>
    <col min="3580" max="3580" width="6" style="1" customWidth="1"/>
    <col min="3581" max="3581" width="35.85546875" style="1" customWidth="1"/>
    <col min="3582" max="3582" width="5.140625" style="1" customWidth="1"/>
    <col min="3583" max="3588" width="9.140625" style="1"/>
    <col min="3589" max="3589" width="13.7109375" style="1" customWidth="1"/>
    <col min="3590" max="3593" width="16.7109375" style="1" customWidth="1"/>
    <col min="3594" max="3835" width="9.140625" style="1"/>
    <col min="3836" max="3836" width="6" style="1" customWidth="1"/>
    <col min="3837" max="3837" width="35.85546875" style="1" customWidth="1"/>
    <col min="3838" max="3838" width="5.140625" style="1" customWidth="1"/>
    <col min="3839" max="3844" width="9.140625" style="1"/>
    <col min="3845" max="3845" width="13.7109375" style="1" customWidth="1"/>
    <col min="3846" max="3849" width="16.7109375" style="1" customWidth="1"/>
    <col min="3850" max="4091" width="9.140625" style="1"/>
    <col min="4092" max="4092" width="6" style="1" customWidth="1"/>
    <col min="4093" max="4093" width="35.85546875" style="1" customWidth="1"/>
    <col min="4094" max="4094" width="5.140625" style="1" customWidth="1"/>
    <col min="4095" max="4100" width="9.140625" style="1"/>
    <col min="4101" max="4101" width="13.7109375" style="1" customWidth="1"/>
    <col min="4102" max="4105" width="16.7109375" style="1" customWidth="1"/>
    <col min="4106" max="4347" width="9.140625" style="1"/>
    <col min="4348" max="4348" width="6" style="1" customWidth="1"/>
    <col min="4349" max="4349" width="35.85546875" style="1" customWidth="1"/>
    <col min="4350" max="4350" width="5.140625" style="1" customWidth="1"/>
    <col min="4351" max="4356" width="9.140625" style="1"/>
    <col min="4357" max="4357" width="13.7109375" style="1" customWidth="1"/>
    <col min="4358" max="4361" width="16.7109375" style="1" customWidth="1"/>
    <col min="4362" max="4603" width="9.140625" style="1"/>
    <col min="4604" max="4604" width="6" style="1" customWidth="1"/>
    <col min="4605" max="4605" width="35.85546875" style="1" customWidth="1"/>
    <col min="4606" max="4606" width="5.140625" style="1" customWidth="1"/>
    <col min="4607" max="4612" width="9.140625" style="1"/>
    <col min="4613" max="4613" width="13.7109375" style="1" customWidth="1"/>
    <col min="4614" max="4617" width="16.7109375" style="1" customWidth="1"/>
    <col min="4618" max="4859" width="9.140625" style="1"/>
    <col min="4860" max="4860" width="6" style="1" customWidth="1"/>
    <col min="4861" max="4861" width="35.85546875" style="1" customWidth="1"/>
    <col min="4862" max="4862" width="5.140625" style="1" customWidth="1"/>
    <col min="4863" max="4868" width="9.140625" style="1"/>
    <col min="4869" max="4869" width="13.7109375" style="1" customWidth="1"/>
    <col min="4870" max="4873" width="16.7109375" style="1" customWidth="1"/>
    <col min="4874" max="5115" width="9.140625" style="1"/>
    <col min="5116" max="5116" width="6" style="1" customWidth="1"/>
    <col min="5117" max="5117" width="35.85546875" style="1" customWidth="1"/>
    <col min="5118" max="5118" width="5.140625" style="1" customWidth="1"/>
    <col min="5119" max="5124" width="9.140625" style="1"/>
    <col min="5125" max="5125" width="13.7109375" style="1" customWidth="1"/>
    <col min="5126" max="5129" width="16.7109375" style="1" customWidth="1"/>
    <col min="5130" max="5371" width="9.140625" style="1"/>
    <col min="5372" max="5372" width="6" style="1" customWidth="1"/>
    <col min="5373" max="5373" width="35.85546875" style="1" customWidth="1"/>
    <col min="5374" max="5374" width="5.140625" style="1" customWidth="1"/>
    <col min="5375" max="5380" width="9.140625" style="1"/>
    <col min="5381" max="5381" width="13.7109375" style="1" customWidth="1"/>
    <col min="5382" max="5385" width="16.7109375" style="1" customWidth="1"/>
    <col min="5386" max="5627" width="9.140625" style="1"/>
    <col min="5628" max="5628" width="6" style="1" customWidth="1"/>
    <col min="5629" max="5629" width="35.85546875" style="1" customWidth="1"/>
    <col min="5630" max="5630" width="5.140625" style="1" customWidth="1"/>
    <col min="5631" max="5636" width="9.140625" style="1"/>
    <col min="5637" max="5637" width="13.7109375" style="1" customWidth="1"/>
    <col min="5638" max="5641" width="16.7109375" style="1" customWidth="1"/>
    <col min="5642" max="5883" width="9.140625" style="1"/>
    <col min="5884" max="5884" width="6" style="1" customWidth="1"/>
    <col min="5885" max="5885" width="35.85546875" style="1" customWidth="1"/>
    <col min="5886" max="5886" width="5.140625" style="1" customWidth="1"/>
    <col min="5887" max="5892" width="9.140625" style="1"/>
    <col min="5893" max="5893" width="13.7109375" style="1" customWidth="1"/>
    <col min="5894" max="5897" width="16.7109375" style="1" customWidth="1"/>
    <col min="5898" max="6139" width="9.140625" style="1"/>
    <col min="6140" max="6140" width="6" style="1" customWidth="1"/>
    <col min="6141" max="6141" width="35.85546875" style="1" customWidth="1"/>
    <col min="6142" max="6142" width="5.140625" style="1" customWidth="1"/>
    <col min="6143" max="6148" width="9.140625" style="1"/>
    <col min="6149" max="6149" width="13.7109375" style="1" customWidth="1"/>
    <col min="6150" max="6153" width="16.7109375" style="1" customWidth="1"/>
    <col min="6154" max="6395" width="9.140625" style="1"/>
    <col min="6396" max="6396" width="6" style="1" customWidth="1"/>
    <col min="6397" max="6397" width="35.85546875" style="1" customWidth="1"/>
    <col min="6398" max="6398" width="5.140625" style="1" customWidth="1"/>
    <col min="6399" max="6404" width="9.140625" style="1"/>
    <col min="6405" max="6405" width="13.7109375" style="1" customWidth="1"/>
    <col min="6406" max="6409" width="16.7109375" style="1" customWidth="1"/>
    <col min="6410" max="6651" width="9.140625" style="1"/>
    <col min="6652" max="6652" width="6" style="1" customWidth="1"/>
    <col min="6653" max="6653" width="35.85546875" style="1" customWidth="1"/>
    <col min="6654" max="6654" width="5.140625" style="1" customWidth="1"/>
    <col min="6655" max="6660" width="9.140625" style="1"/>
    <col min="6661" max="6661" width="13.7109375" style="1" customWidth="1"/>
    <col min="6662" max="6665" width="16.7109375" style="1" customWidth="1"/>
    <col min="6666" max="6907" width="9.140625" style="1"/>
    <col min="6908" max="6908" width="6" style="1" customWidth="1"/>
    <col min="6909" max="6909" width="35.85546875" style="1" customWidth="1"/>
    <col min="6910" max="6910" width="5.140625" style="1" customWidth="1"/>
    <col min="6911" max="6916" width="9.140625" style="1"/>
    <col min="6917" max="6917" width="13.7109375" style="1" customWidth="1"/>
    <col min="6918" max="6921" width="16.7109375" style="1" customWidth="1"/>
    <col min="6922" max="7163" width="9.140625" style="1"/>
    <col min="7164" max="7164" width="6" style="1" customWidth="1"/>
    <col min="7165" max="7165" width="35.85546875" style="1" customWidth="1"/>
    <col min="7166" max="7166" width="5.140625" style="1" customWidth="1"/>
    <col min="7167" max="7172" width="9.140625" style="1"/>
    <col min="7173" max="7173" width="13.7109375" style="1" customWidth="1"/>
    <col min="7174" max="7177" width="16.7109375" style="1" customWidth="1"/>
    <col min="7178" max="7419" width="9.140625" style="1"/>
    <col min="7420" max="7420" width="6" style="1" customWidth="1"/>
    <col min="7421" max="7421" width="35.85546875" style="1" customWidth="1"/>
    <col min="7422" max="7422" width="5.140625" style="1" customWidth="1"/>
    <col min="7423" max="7428" width="9.140625" style="1"/>
    <col min="7429" max="7429" width="13.7109375" style="1" customWidth="1"/>
    <col min="7430" max="7433" width="16.7109375" style="1" customWidth="1"/>
    <col min="7434" max="7675" width="9.140625" style="1"/>
    <col min="7676" max="7676" width="6" style="1" customWidth="1"/>
    <col min="7677" max="7677" width="35.85546875" style="1" customWidth="1"/>
    <col min="7678" max="7678" width="5.140625" style="1" customWidth="1"/>
    <col min="7679" max="7684" width="9.140625" style="1"/>
    <col min="7685" max="7685" width="13.7109375" style="1" customWidth="1"/>
    <col min="7686" max="7689" width="16.7109375" style="1" customWidth="1"/>
    <col min="7690" max="7931" width="9.140625" style="1"/>
    <col min="7932" max="7932" width="6" style="1" customWidth="1"/>
    <col min="7933" max="7933" width="35.85546875" style="1" customWidth="1"/>
    <col min="7934" max="7934" width="5.140625" style="1" customWidth="1"/>
    <col min="7935" max="7940" width="9.140625" style="1"/>
    <col min="7941" max="7941" width="13.7109375" style="1" customWidth="1"/>
    <col min="7942" max="7945" width="16.7109375" style="1" customWidth="1"/>
    <col min="7946" max="8187" width="9.140625" style="1"/>
    <col min="8188" max="8188" width="6" style="1" customWidth="1"/>
    <col min="8189" max="8189" width="35.85546875" style="1" customWidth="1"/>
    <col min="8190" max="8190" width="5.140625" style="1" customWidth="1"/>
    <col min="8191" max="8196" width="9.140625" style="1"/>
    <col min="8197" max="8197" width="13.7109375" style="1" customWidth="1"/>
    <col min="8198" max="8201" width="16.7109375" style="1" customWidth="1"/>
    <col min="8202" max="8443" width="9.140625" style="1"/>
    <col min="8444" max="8444" width="6" style="1" customWidth="1"/>
    <col min="8445" max="8445" width="35.85546875" style="1" customWidth="1"/>
    <col min="8446" max="8446" width="5.140625" style="1" customWidth="1"/>
    <col min="8447" max="8452" width="9.140625" style="1"/>
    <col min="8453" max="8453" width="13.7109375" style="1" customWidth="1"/>
    <col min="8454" max="8457" width="16.7109375" style="1" customWidth="1"/>
    <col min="8458" max="8699" width="9.140625" style="1"/>
    <col min="8700" max="8700" width="6" style="1" customWidth="1"/>
    <col min="8701" max="8701" width="35.85546875" style="1" customWidth="1"/>
    <col min="8702" max="8702" width="5.140625" style="1" customWidth="1"/>
    <col min="8703" max="8708" width="9.140625" style="1"/>
    <col min="8709" max="8709" width="13.7109375" style="1" customWidth="1"/>
    <col min="8710" max="8713" width="16.7109375" style="1" customWidth="1"/>
    <col min="8714" max="8955" width="9.140625" style="1"/>
    <col min="8956" max="8956" width="6" style="1" customWidth="1"/>
    <col min="8957" max="8957" width="35.85546875" style="1" customWidth="1"/>
    <col min="8958" max="8958" width="5.140625" style="1" customWidth="1"/>
    <col min="8959" max="8964" width="9.140625" style="1"/>
    <col min="8965" max="8965" width="13.7109375" style="1" customWidth="1"/>
    <col min="8966" max="8969" width="16.7109375" style="1" customWidth="1"/>
    <col min="8970" max="9211" width="9.140625" style="1"/>
    <col min="9212" max="9212" width="6" style="1" customWidth="1"/>
    <col min="9213" max="9213" width="35.85546875" style="1" customWidth="1"/>
    <col min="9214" max="9214" width="5.140625" style="1" customWidth="1"/>
    <col min="9215" max="9220" width="9.140625" style="1"/>
    <col min="9221" max="9221" width="13.7109375" style="1" customWidth="1"/>
    <col min="9222" max="9225" width="16.7109375" style="1" customWidth="1"/>
    <col min="9226" max="9467" width="9.140625" style="1"/>
    <col min="9468" max="9468" width="6" style="1" customWidth="1"/>
    <col min="9469" max="9469" width="35.85546875" style="1" customWidth="1"/>
    <col min="9470" max="9470" width="5.140625" style="1" customWidth="1"/>
    <col min="9471" max="9476" width="9.140625" style="1"/>
    <col min="9477" max="9477" width="13.7109375" style="1" customWidth="1"/>
    <col min="9478" max="9481" width="16.7109375" style="1" customWidth="1"/>
    <col min="9482" max="9723" width="9.140625" style="1"/>
    <col min="9724" max="9724" width="6" style="1" customWidth="1"/>
    <col min="9725" max="9725" width="35.85546875" style="1" customWidth="1"/>
    <col min="9726" max="9726" width="5.140625" style="1" customWidth="1"/>
    <col min="9727" max="9732" width="9.140625" style="1"/>
    <col min="9733" max="9733" width="13.7109375" style="1" customWidth="1"/>
    <col min="9734" max="9737" width="16.7109375" style="1" customWidth="1"/>
    <col min="9738" max="9979" width="9.140625" style="1"/>
    <col min="9980" max="9980" width="6" style="1" customWidth="1"/>
    <col min="9981" max="9981" width="35.85546875" style="1" customWidth="1"/>
    <col min="9982" max="9982" width="5.140625" style="1" customWidth="1"/>
    <col min="9983" max="9988" width="9.140625" style="1"/>
    <col min="9989" max="9989" width="13.7109375" style="1" customWidth="1"/>
    <col min="9990" max="9993" width="16.7109375" style="1" customWidth="1"/>
    <col min="9994" max="10235" width="9.140625" style="1"/>
    <col min="10236" max="10236" width="6" style="1" customWidth="1"/>
    <col min="10237" max="10237" width="35.85546875" style="1" customWidth="1"/>
    <col min="10238" max="10238" width="5.140625" style="1" customWidth="1"/>
    <col min="10239" max="10244" width="9.140625" style="1"/>
    <col min="10245" max="10245" width="13.7109375" style="1" customWidth="1"/>
    <col min="10246" max="10249" width="16.7109375" style="1" customWidth="1"/>
    <col min="10250" max="10491" width="9.140625" style="1"/>
    <col min="10492" max="10492" width="6" style="1" customWidth="1"/>
    <col min="10493" max="10493" width="35.85546875" style="1" customWidth="1"/>
    <col min="10494" max="10494" width="5.140625" style="1" customWidth="1"/>
    <col min="10495" max="10500" width="9.140625" style="1"/>
    <col min="10501" max="10501" width="13.7109375" style="1" customWidth="1"/>
    <col min="10502" max="10505" width="16.7109375" style="1" customWidth="1"/>
    <col min="10506" max="10747" width="9.140625" style="1"/>
    <col min="10748" max="10748" width="6" style="1" customWidth="1"/>
    <col min="10749" max="10749" width="35.85546875" style="1" customWidth="1"/>
    <col min="10750" max="10750" width="5.140625" style="1" customWidth="1"/>
    <col min="10751" max="10756" width="9.140625" style="1"/>
    <col min="10757" max="10757" width="13.7109375" style="1" customWidth="1"/>
    <col min="10758" max="10761" width="16.7109375" style="1" customWidth="1"/>
    <col min="10762" max="11003" width="9.140625" style="1"/>
    <col min="11004" max="11004" width="6" style="1" customWidth="1"/>
    <col min="11005" max="11005" width="35.85546875" style="1" customWidth="1"/>
    <col min="11006" max="11006" width="5.140625" style="1" customWidth="1"/>
    <col min="11007" max="11012" width="9.140625" style="1"/>
    <col min="11013" max="11013" width="13.7109375" style="1" customWidth="1"/>
    <col min="11014" max="11017" width="16.7109375" style="1" customWidth="1"/>
    <col min="11018" max="11259" width="9.140625" style="1"/>
    <col min="11260" max="11260" width="6" style="1" customWidth="1"/>
    <col min="11261" max="11261" width="35.85546875" style="1" customWidth="1"/>
    <col min="11262" max="11262" width="5.140625" style="1" customWidth="1"/>
    <col min="11263" max="11268" width="9.140625" style="1"/>
    <col min="11269" max="11269" width="13.7109375" style="1" customWidth="1"/>
    <col min="11270" max="11273" width="16.7109375" style="1" customWidth="1"/>
    <col min="11274" max="11515" width="9.140625" style="1"/>
    <col min="11516" max="11516" width="6" style="1" customWidth="1"/>
    <col min="11517" max="11517" width="35.85546875" style="1" customWidth="1"/>
    <col min="11518" max="11518" width="5.140625" style="1" customWidth="1"/>
    <col min="11519" max="11524" width="9.140625" style="1"/>
    <col min="11525" max="11525" width="13.7109375" style="1" customWidth="1"/>
    <col min="11526" max="11529" width="16.7109375" style="1" customWidth="1"/>
    <col min="11530" max="11771" width="9.140625" style="1"/>
    <col min="11772" max="11772" width="6" style="1" customWidth="1"/>
    <col min="11773" max="11773" width="35.85546875" style="1" customWidth="1"/>
    <col min="11774" max="11774" width="5.140625" style="1" customWidth="1"/>
    <col min="11775" max="11780" width="9.140625" style="1"/>
    <col min="11781" max="11781" width="13.7109375" style="1" customWidth="1"/>
    <col min="11782" max="11785" width="16.7109375" style="1" customWidth="1"/>
    <col min="11786" max="12027" width="9.140625" style="1"/>
    <col min="12028" max="12028" width="6" style="1" customWidth="1"/>
    <col min="12029" max="12029" width="35.85546875" style="1" customWidth="1"/>
    <col min="12030" max="12030" width="5.140625" style="1" customWidth="1"/>
    <col min="12031" max="12036" width="9.140625" style="1"/>
    <col min="12037" max="12037" width="13.7109375" style="1" customWidth="1"/>
    <col min="12038" max="12041" width="16.7109375" style="1" customWidth="1"/>
    <col min="12042" max="12283" width="9.140625" style="1"/>
    <col min="12284" max="12284" width="6" style="1" customWidth="1"/>
    <col min="12285" max="12285" width="35.85546875" style="1" customWidth="1"/>
    <col min="12286" max="12286" width="5.140625" style="1" customWidth="1"/>
    <col min="12287" max="12292" width="9.140625" style="1"/>
    <col min="12293" max="12293" width="13.7109375" style="1" customWidth="1"/>
    <col min="12294" max="12297" width="16.7109375" style="1" customWidth="1"/>
    <col min="12298" max="12539" width="9.140625" style="1"/>
    <col min="12540" max="12540" width="6" style="1" customWidth="1"/>
    <col min="12541" max="12541" width="35.85546875" style="1" customWidth="1"/>
    <col min="12542" max="12542" width="5.140625" style="1" customWidth="1"/>
    <col min="12543" max="12548" width="9.140625" style="1"/>
    <col min="12549" max="12549" width="13.7109375" style="1" customWidth="1"/>
    <col min="12550" max="12553" width="16.7109375" style="1" customWidth="1"/>
    <col min="12554" max="12795" width="9.140625" style="1"/>
    <col min="12796" max="12796" width="6" style="1" customWidth="1"/>
    <col min="12797" max="12797" width="35.85546875" style="1" customWidth="1"/>
    <col min="12798" max="12798" width="5.140625" style="1" customWidth="1"/>
    <col min="12799" max="12804" width="9.140625" style="1"/>
    <col min="12805" max="12805" width="13.7109375" style="1" customWidth="1"/>
    <col min="12806" max="12809" width="16.7109375" style="1" customWidth="1"/>
    <col min="12810" max="13051" width="9.140625" style="1"/>
    <col min="13052" max="13052" width="6" style="1" customWidth="1"/>
    <col min="13053" max="13053" width="35.85546875" style="1" customWidth="1"/>
    <col min="13054" max="13054" width="5.140625" style="1" customWidth="1"/>
    <col min="13055" max="13060" width="9.140625" style="1"/>
    <col min="13061" max="13061" width="13.7109375" style="1" customWidth="1"/>
    <col min="13062" max="13065" width="16.7109375" style="1" customWidth="1"/>
    <col min="13066" max="13307" width="9.140625" style="1"/>
    <col min="13308" max="13308" width="6" style="1" customWidth="1"/>
    <col min="13309" max="13309" width="35.85546875" style="1" customWidth="1"/>
    <col min="13310" max="13310" width="5.140625" style="1" customWidth="1"/>
    <col min="13311" max="13316" width="9.140625" style="1"/>
    <col min="13317" max="13317" width="13.7109375" style="1" customWidth="1"/>
    <col min="13318" max="13321" width="16.7109375" style="1" customWidth="1"/>
    <col min="13322" max="13563" width="9.140625" style="1"/>
    <col min="13564" max="13564" width="6" style="1" customWidth="1"/>
    <col min="13565" max="13565" width="35.85546875" style="1" customWidth="1"/>
    <col min="13566" max="13566" width="5.140625" style="1" customWidth="1"/>
    <col min="13567" max="13572" width="9.140625" style="1"/>
    <col min="13573" max="13573" width="13.7109375" style="1" customWidth="1"/>
    <col min="13574" max="13577" width="16.7109375" style="1" customWidth="1"/>
    <col min="13578" max="13819" width="9.140625" style="1"/>
    <col min="13820" max="13820" width="6" style="1" customWidth="1"/>
    <col min="13821" max="13821" width="35.85546875" style="1" customWidth="1"/>
    <col min="13822" max="13822" width="5.140625" style="1" customWidth="1"/>
    <col min="13823" max="13828" width="9.140625" style="1"/>
    <col min="13829" max="13829" width="13.7109375" style="1" customWidth="1"/>
    <col min="13830" max="13833" width="16.7109375" style="1" customWidth="1"/>
    <col min="13834" max="14075" width="9.140625" style="1"/>
    <col min="14076" max="14076" width="6" style="1" customWidth="1"/>
    <col min="14077" max="14077" width="35.85546875" style="1" customWidth="1"/>
    <col min="14078" max="14078" width="5.140625" style="1" customWidth="1"/>
    <col min="14079" max="14084" width="9.140625" style="1"/>
    <col min="14085" max="14085" width="13.7109375" style="1" customWidth="1"/>
    <col min="14086" max="14089" width="16.7109375" style="1" customWidth="1"/>
    <col min="14090" max="14331" width="9.140625" style="1"/>
    <col min="14332" max="14332" width="6" style="1" customWidth="1"/>
    <col min="14333" max="14333" width="35.85546875" style="1" customWidth="1"/>
    <col min="14334" max="14334" width="5.140625" style="1" customWidth="1"/>
    <col min="14335" max="14340" width="9.140625" style="1"/>
    <col min="14341" max="14341" width="13.7109375" style="1" customWidth="1"/>
    <col min="14342" max="14345" width="16.7109375" style="1" customWidth="1"/>
    <col min="14346" max="14587" width="9.140625" style="1"/>
    <col min="14588" max="14588" width="6" style="1" customWidth="1"/>
    <col min="14589" max="14589" width="35.85546875" style="1" customWidth="1"/>
    <col min="14590" max="14590" width="5.140625" style="1" customWidth="1"/>
    <col min="14591" max="14596" width="9.140625" style="1"/>
    <col min="14597" max="14597" width="13.7109375" style="1" customWidth="1"/>
    <col min="14598" max="14601" width="16.7109375" style="1" customWidth="1"/>
    <col min="14602" max="14843" width="9.140625" style="1"/>
    <col min="14844" max="14844" width="6" style="1" customWidth="1"/>
    <col min="14845" max="14845" width="35.85546875" style="1" customWidth="1"/>
    <col min="14846" max="14846" width="5.140625" style="1" customWidth="1"/>
    <col min="14847" max="14852" width="9.140625" style="1"/>
    <col min="14853" max="14853" width="13.7109375" style="1" customWidth="1"/>
    <col min="14854" max="14857" width="16.7109375" style="1" customWidth="1"/>
    <col min="14858" max="15099" width="9.140625" style="1"/>
    <col min="15100" max="15100" width="6" style="1" customWidth="1"/>
    <col min="15101" max="15101" width="35.85546875" style="1" customWidth="1"/>
    <col min="15102" max="15102" width="5.140625" style="1" customWidth="1"/>
    <col min="15103" max="15108" width="9.140625" style="1"/>
    <col min="15109" max="15109" width="13.7109375" style="1" customWidth="1"/>
    <col min="15110" max="15113" width="16.7109375" style="1" customWidth="1"/>
    <col min="15114" max="15355" width="9.140625" style="1"/>
    <col min="15356" max="15356" width="6" style="1" customWidth="1"/>
    <col min="15357" max="15357" width="35.85546875" style="1" customWidth="1"/>
    <col min="15358" max="15358" width="5.140625" style="1" customWidth="1"/>
    <col min="15359" max="15364" width="9.140625" style="1"/>
    <col min="15365" max="15365" width="13.7109375" style="1" customWidth="1"/>
    <col min="15366" max="15369" width="16.7109375" style="1" customWidth="1"/>
    <col min="15370" max="15611" width="9.140625" style="1"/>
    <col min="15612" max="15612" width="6" style="1" customWidth="1"/>
    <col min="15613" max="15613" width="35.85546875" style="1" customWidth="1"/>
    <col min="15614" max="15614" width="5.140625" style="1" customWidth="1"/>
    <col min="15615" max="15620" width="9.140625" style="1"/>
    <col min="15621" max="15621" width="13.7109375" style="1" customWidth="1"/>
    <col min="15622" max="15625" width="16.7109375" style="1" customWidth="1"/>
    <col min="15626" max="15867" width="9.140625" style="1"/>
    <col min="15868" max="15868" width="6" style="1" customWidth="1"/>
    <col min="15869" max="15869" width="35.85546875" style="1" customWidth="1"/>
    <col min="15870" max="15870" width="5.140625" style="1" customWidth="1"/>
    <col min="15871" max="15876" width="9.140625" style="1"/>
    <col min="15877" max="15877" width="13.7109375" style="1" customWidth="1"/>
    <col min="15878" max="15881" width="16.7109375" style="1" customWidth="1"/>
    <col min="15882" max="16123" width="9.140625" style="1"/>
    <col min="16124" max="16124" width="6" style="1" customWidth="1"/>
    <col min="16125" max="16125" width="35.85546875" style="1" customWidth="1"/>
    <col min="16126" max="16126" width="5.140625" style="1" customWidth="1"/>
    <col min="16127" max="16132" width="9.140625" style="1"/>
    <col min="16133" max="16133" width="13.7109375" style="1" customWidth="1"/>
    <col min="16134" max="16137" width="16.7109375" style="1" customWidth="1"/>
    <col min="16138" max="16384" width="9.140625" style="1"/>
  </cols>
  <sheetData>
    <row r="1" spans="1:16" ht="15" customHeight="1" x14ac:dyDescent="0.25">
      <c r="F1" s="94"/>
      <c r="G1" s="428"/>
      <c r="H1" s="428"/>
      <c r="I1" s="428"/>
    </row>
    <row r="2" spans="1:16" ht="15" customHeight="1" x14ac:dyDescent="0.25">
      <c r="A2" s="429" t="s">
        <v>192</v>
      </c>
      <c r="B2" s="429"/>
      <c r="C2" s="429"/>
      <c r="F2" s="428"/>
      <c r="G2" s="428"/>
      <c r="H2" s="428"/>
      <c r="I2" s="428"/>
    </row>
    <row r="4" spans="1:16" x14ac:dyDescent="0.25">
      <c r="C4" s="40"/>
      <c r="D4" s="40"/>
      <c r="E4" s="41"/>
      <c r="F4" s="95"/>
      <c r="G4" s="105"/>
      <c r="H4" s="33"/>
      <c r="I4" s="33"/>
    </row>
    <row r="5" spans="1:16" x14ac:dyDescent="0.25">
      <c r="C5" s="430" t="s">
        <v>196</v>
      </c>
      <c r="D5" s="430"/>
      <c r="E5" s="430"/>
      <c r="F5" s="430"/>
      <c r="G5" s="430"/>
      <c r="H5" s="430"/>
      <c r="I5" s="33"/>
    </row>
    <row r="6" spans="1:16" x14ac:dyDescent="0.25">
      <c r="C6" s="430" t="s">
        <v>191</v>
      </c>
      <c r="D6" s="430"/>
      <c r="E6" s="430"/>
      <c r="F6" s="430"/>
      <c r="G6" s="430"/>
      <c r="H6" s="430"/>
      <c r="I6" s="33"/>
    </row>
    <row r="7" spans="1:16" x14ac:dyDescent="0.25">
      <c r="C7" s="40"/>
      <c r="D7" s="40"/>
      <c r="E7" s="41"/>
      <c r="F7" s="95"/>
      <c r="G7" s="105"/>
      <c r="H7" s="33"/>
      <c r="I7" s="33"/>
    </row>
    <row r="8" spans="1:16" x14ac:dyDescent="0.25">
      <c r="C8" s="40"/>
      <c r="D8" s="40"/>
      <c r="E8" s="41"/>
      <c r="F8" s="95"/>
      <c r="G8" s="105"/>
      <c r="H8" s="33"/>
      <c r="I8" s="33"/>
    </row>
    <row r="9" spans="1:16" x14ac:dyDescent="0.25">
      <c r="A9" s="427" t="s">
        <v>193</v>
      </c>
      <c r="B9" s="427"/>
      <c r="C9" s="427"/>
      <c r="D9" s="427"/>
      <c r="E9" s="427"/>
      <c r="F9" s="427"/>
      <c r="G9" s="427"/>
      <c r="H9" s="427"/>
      <c r="I9" s="427"/>
    </row>
    <row r="10" spans="1:16" ht="40.5" customHeight="1" x14ac:dyDescent="0.25">
      <c r="A10" s="427"/>
      <c r="B10" s="427"/>
      <c r="C10" s="427"/>
      <c r="D10" s="427"/>
      <c r="E10" s="427"/>
      <c r="F10" s="427"/>
      <c r="G10" s="427"/>
      <c r="H10" s="427"/>
      <c r="I10" s="427"/>
    </row>
    <row r="11" spans="1:16" x14ac:dyDescent="0.25">
      <c r="C11" s="40"/>
      <c r="D11" s="40"/>
      <c r="E11" s="41"/>
      <c r="F11" s="95"/>
      <c r="G11" s="105"/>
      <c r="H11" s="33"/>
      <c r="I11" s="33"/>
    </row>
    <row r="12" spans="1:16" ht="50.25" customHeight="1" x14ac:dyDescent="0.25">
      <c r="A12" s="431" t="s">
        <v>195</v>
      </c>
      <c r="B12" s="431"/>
      <c r="C12" s="432" t="s">
        <v>194</v>
      </c>
      <c r="D12" s="432"/>
      <c r="E12" s="432"/>
      <c r="F12" s="432"/>
      <c r="G12" s="432"/>
      <c r="H12" s="432"/>
      <c r="I12" s="432"/>
      <c r="L12" s="41"/>
    </row>
    <row r="13" spans="1:16" ht="15.75" thickBot="1" x14ac:dyDescent="0.3">
      <c r="C13" s="36" t="s">
        <v>50</v>
      </c>
      <c r="D13" s="103"/>
    </row>
    <row r="14" spans="1:16" s="2" customFormat="1" ht="15.75" thickBot="1" x14ac:dyDescent="0.3">
      <c r="A14" s="433" t="s">
        <v>0</v>
      </c>
      <c r="B14" s="435" t="s">
        <v>51</v>
      </c>
      <c r="C14" s="437" t="s">
        <v>1</v>
      </c>
      <c r="D14" s="437" t="s">
        <v>2</v>
      </c>
      <c r="E14" s="439" t="s">
        <v>3</v>
      </c>
      <c r="F14" s="441" t="s">
        <v>4</v>
      </c>
      <c r="G14" s="442"/>
      <c r="H14" s="441" t="s">
        <v>5</v>
      </c>
      <c r="I14" s="442"/>
      <c r="J14" s="95"/>
      <c r="K14" s="393"/>
      <c r="L14" s="393"/>
      <c r="M14" s="393"/>
      <c r="N14" s="393"/>
      <c r="O14" s="393"/>
      <c r="P14" s="303"/>
    </row>
    <row r="15" spans="1:16" s="2" customFormat="1" ht="15.75" thickBot="1" x14ac:dyDescent="0.3">
      <c r="A15" s="434"/>
      <c r="B15" s="436"/>
      <c r="C15" s="438"/>
      <c r="D15" s="438"/>
      <c r="E15" s="440"/>
      <c r="F15" s="219" t="s">
        <v>44</v>
      </c>
      <c r="G15" s="219" t="s">
        <v>6</v>
      </c>
      <c r="H15" s="219" t="s">
        <v>44</v>
      </c>
      <c r="I15" s="219" t="s">
        <v>6</v>
      </c>
      <c r="J15" s="95"/>
      <c r="K15" s="393"/>
      <c r="L15" s="393"/>
      <c r="M15" s="393"/>
      <c r="N15" s="393"/>
      <c r="O15" s="393"/>
      <c r="P15" s="303"/>
    </row>
    <row r="16" spans="1:16" s="2" customFormat="1" ht="15.75" thickBot="1" x14ac:dyDescent="0.3">
      <c r="A16" s="300" t="s">
        <v>18</v>
      </c>
      <c r="B16" s="301" t="s">
        <v>21</v>
      </c>
      <c r="C16" s="300" t="s">
        <v>28</v>
      </c>
      <c r="D16" s="300" t="s">
        <v>30</v>
      </c>
      <c r="E16" s="300" t="s">
        <v>35</v>
      </c>
      <c r="F16" s="300" t="s">
        <v>36</v>
      </c>
      <c r="G16" s="300" t="s">
        <v>37</v>
      </c>
      <c r="H16" s="300" t="s">
        <v>38</v>
      </c>
      <c r="I16" s="302" t="s">
        <v>40</v>
      </c>
      <c r="J16" s="95"/>
      <c r="K16" s="393"/>
      <c r="L16" s="393"/>
      <c r="M16" s="393"/>
      <c r="N16" s="393"/>
      <c r="O16" s="393"/>
      <c r="P16" s="303"/>
    </row>
    <row r="17" spans="1:16" ht="15.75" thickBot="1" x14ac:dyDescent="0.3">
      <c r="A17" s="42"/>
      <c r="B17" s="43"/>
      <c r="C17" s="296" t="s">
        <v>52</v>
      </c>
      <c r="D17" s="297"/>
      <c r="E17" s="297"/>
      <c r="F17" s="297"/>
      <c r="G17" s="298"/>
      <c r="H17" s="298"/>
      <c r="I17" s="299"/>
      <c r="K17" s="40" t="s">
        <v>8</v>
      </c>
    </row>
    <row r="18" spans="1:16" ht="63.75" x14ac:dyDescent="0.25">
      <c r="A18" s="117">
        <v>1</v>
      </c>
      <c r="B18" s="118" t="s">
        <v>7</v>
      </c>
      <c r="C18" s="119" t="s">
        <v>212</v>
      </c>
      <c r="D18" s="120" t="s">
        <v>53</v>
      </c>
      <c r="E18" s="121">
        <f>1100.95+213.4</f>
        <v>1314.3500000000001</v>
      </c>
      <c r="F18" s="122"/>
      <c r="G18" s="123">
        <v>0</v>
      </c>
      <c r="H18" s="124"/>
      <c r="I18" s="123">
        <f t="shared" ref="I18:I23" si="0">E18*G18</f>
        <v>0</v>
      </c>
      <c r="K18" s="41">
        <f>E18+E19</f>
        <v>1355.0000000000002</v>
      </c>
      <c r="L18" s="40" t="s">
        <v>93</v>
      </c>
    </row>
    <row r="19" spans="1:16" ht="38.25" x14ac:dyDescent="0.25">
      <c r="A19" s="106" t="s">
        <v>21</v>
      </c>
      <c r="B19" s="107" t="s">
        <v>7</v>
      </c>
      <c r="C19" s="108" t="s">
        <v>54</v>
      </c>
      <c r="D19" s="109" t="s">
        <v>53</v>
      </c>
      <c r="E19" s="110">
        <f>34.05+6.6</f>
        <v>40.65</v>
      </c>
      <c r="F19" s="111"/>
      <c r="G19" s="114">
        <v>0</v>
      </c>
      <c r="H19" s="113"/>
      <c r="I19" s="114">
        <f t="shared" si="0"/>
        <v>0</v>
      </c>
      <c r="K19" s="41">
        <f>K45+K39+K36+K33</f>
        <v>19.058447602000001</v>
      </c>
      <c r="L19" s="40" t="s">
        <v>185</v>
      </c>
    </row>
    <row r="20" spans="1:16" x14ac:dyDescent="0.25">
      <c r="A20" s="106" t="s">
        <v>28</v>
      </c>
      <c r="B20" s="107" t="s">
        <v>7</v>
      </c>
      <c r="C20" s="108" t="s">
        <v>186</v>
      </c>
      <c r="D20" s="109" t="s">
        <v>8</v>
      </c>
      <c r="E20" s="110">
        <f>E19</f>
        <v>40.65</v>
      </c>
      <c r="F20" s="111"/>
      <c r="G20" s="114">
        <v>0</v>
      </c>
      <c r="H20" s="113"/>
      <c r="I20" s="114">
        <f t="shared" si="0"/>
        <v>0</v>
      </c>
      <c r="K20" s="41">
        <f>E22+E24</f>
        <v>207.72000000000003</v>
      </c>
      <c r="L20" s="40" t="s">
        <v>163</v>
      </c>
    </row>
    <row r="21" spans="1:16" x14ac:dyDescent="0.25">
      <c r="A21" s="106" t="s">
        <v>30</v>
      </c>
      <c r="B21" s="107" t="s">
        <v>7</v>
      </c>
      <c r="C21" s="108" t="s">
        <v>187</v>
      </c>
      <c r="D21" s="109" t="s">
        <v>31</v>
      </c>
      <c r="E21" s="110">
        <f>(E18+E19)*1.6</f>
        <v>2168.0000000000005</v>
      </c>
      <c r="F21" s="111"/>
      <c r="G21" s="114">
        <v>0</v>
      </c>
      <c r="H21" s="113"/>
      <c r="I21" s="114">
        <f>E21*G21</f>
        <v>0</v>
      </c>
      <c r="K21" s="41"/>
    </row>
    <row r="22" spans="1:16" ht="25.5" x14ac:dyDescent="0.25">
      <c r="A22" s="106" t="s">
        <v>35</v>
      </c>
      <c r="B22" s="107" t="s">
        <v>7</v>
      </c>
      <c r="C22" s="108" t="s">
        <v>9</v>
      </c>
      <c r="D22" s="109" t="s">
        <v>53</v>
      </c>
      <c r="E22" s="110">
        <v>43.2</v>
      </c>
      <c r="F22" s="111"/>
      <c r="G22" s="114">
        <v>0</v>
      </c>
      <c r="H22" s="113"/>
      <c r="I22" s="114">
        <f t="shared" si="0"/>
        <v>0</v>
      </c>
      <c r="K22" s="41">
        <f>E57</f>
        <v>3.05</v>
      </c>
      <c r="L22" s="40" t="s">
        <v>164</v>
      </c>
    </row>
    <row r="23" spans="1:16" ht="38.25" x14ac:dyDescent="0.25">
      <c r="A23" s="125" t="s">
        <v>27</v>
      </c>
      <c r="B23" s="126" t="s">
        <v>11</v>
      </c>
      <c r="C23" s="127" t="s">
        <v>12</v>
      </c>
      <c r="D23" s="109" t="s">
        <v>8</v>
      </c>
      <c r="E23" s="110">
        <f>1.1*E22</f>
        <v>47.52000000000001</v>
      </c>
      <c r="F23" s="128">
        <v>0</v>
      </c>
      <c r="G23" s="129"/>
      <c r="H23" s="130">
        <f>E23*F23</f>
        <v>0</v>
      </c>
      <c r="I23" s="129">
        <f t="shared" si="0"/>
        <v>0</v>
      </c>
      <c r="K23" s="40">
        <v>39.85</v>
      </c>
      <c r="L23" s="40" t="s">
        <v>183</v>
      </c>
    </row>
    <row r="24" spans="1:16" ht="25.5" x14ac:dyDescent="0.25">
      <c r="A24" s="106" t="s">
        <v>36</v>
      </c>
      <c r="B24" s="107" t="s">
        <v>7</v>
      </c>
      <c r="C24" s="108" t="s">
        <v>97</v>
      </c>
      <c r="D24" s="109" t="s">
        <v>53</v>
      </c>
      <c r="E24" s="110">
        <v>164.52</v>
      </c>
      <c r="F24" s="111"/>
      <c r="G24" s="114">
        <v>0</v>
      </c>
      <c r="H24" s="113"/>
      <c r="I24" s="114">
        <f>E24*G24</f>
        <v>0</v>
      </c>
      <c r="K24" s="40">
        <f>0.963*17</f>
        <v>16.370999999999999</v>
      </c>
      <c r="L24" s="40" t="s">
        <v>184</v>
      </c>
    </row>
    <row r="25" spans="1:16" ht="38.25" x14ac:dyDescent="0.25">
      <c r="A25" s="125" t="s">
        <v>10</v>
      </c>
      <c r="B25" s="126" t="s">
        <v>11</v>
      </c>
      <c r="C25" s="127" t="s">
        <v>12</v>
      </c>
      <c r="D25" s="109" t="s">
        <v>53</v>
      </c>
      <c r="E25" s="110">
        <f>1.1*E24</f>
        <v>180.97200000000004</v>
      </c>
      <c r="F25" s="128">
        <v>0</v>
      </c>
      <c r="G25" s="129"/>
      <c r="H25" s="130">
        <f>E25*F25</f>
        <v>0</v>
      </c>
      <c r="I25" s="129"/>
      <c r="K25" s="41">
        <f>K18-K19-K20-K22-K23-K24</f>
        <v>1068.9505523980001</v>
      </c>
      <c r="N25" s="304">
        <f>K19+K20+K22+K23+K24</f>
        <v>286.04944760200004</v>
      </c>
      <c r="O25" s="443" t="s">
        <v>165</v>
      </c>
      <c r="P25" s="443"/>
    </row>
    <row r="26" spans="1:16" ht="51" x14ac:dyDescent="0.25">
      <c r="A26" s="106" t="s">
        <v>37</v>
      </c>
      <c r="B26" s="107" t="s">
        <v>7</v>
      </c>
      <c r="C26" s="108" t="s">
        <v>55</v>
      </c>
      <c r="D26" s="109" t="s">
        <v>8</v>
      </c>
      <c r="E26" s="110">
        <v>1068.95</v>
      </c>
      <c r="F26" s="111"/>
      <c r="G26" s="112">
        <v>0</v>
      </c>
      <c r="H26" s="113"/>
      <c r="I26" s="114">
        <f t="shared" ref="I26:I29" si="1">E26*G26</f>
        <v>0</v>
      </c>
    </row>
    <row r="27" spans="1:16" ht="38.25" x14ac:dyDescent="0.25">
      <c r="A27" s="125" t="s">
        <v>13</v>
      </c>
      <c r="B27" s="126" t="s">
        <v>11</v>
      </c>
      <c r="C27" s="127" t="s">
        <v>12</v>
      </c>
      <c r="D27" s="109" t="s">
        <v>8</v>
      </c>
      <c r="E27" s="110">
        <f>1.1*E26</f>
        <v>1175.8450000000003</v>
      </c>
      <c r="F27" s="128">
        <v>0</v>
      </c>
      <c r="G27" s="129"/>
      <c r="H27" s="130">
        <f>E27*F27</f>
        <v>0</v>
      </c>
      <c r="I27" s="129">
        <f t="shared" si="1"/>
        <v>0</v>
      </c>
    </row>
    <row r="28" spans="1:16" ht="25.5" x14ac:dyDescent="0.25">
      <c r="A28" s="106" t="s">
        <v>38</v>
      </c>
      <c r="B28" s="107" t="s">
        <v>7</v>
      </c>
      <c r="C28" s="108" t="s">
        <v>14</v>
      </c>
      <c r="D28" s="109" t="s">
        <v>53</v>
      </c>
      <c r="E28" s="110">
        <v>1068.95</v>
      </c>
      <c r="F28" s="111"/>
      <c r="G28" s="114">
        <v>0</v>
      </c>
      <c r="H28" s="113"/>
      <c r="I28" s="114">
        <f t="shared" ref="I28" si="2">E28*G28</f>
        <v>0</v>
      </c>
    </row>
    <row r="29" spans="1:16" ht="21.75" customHeight="1" thickBot="1" x14ac:dyDescent="0.3">
      <c r="A29" s="131" t="s">
        <v>40</v>
      </c>
      <c r="B29" s="132" t="s">
        <v>7</v>
      </c>
      <c r="C29" s="133" t="s">
        <v>15</v>
      </c>
      <c r="D29" s="134" t="s">
        <v>45</v>
      </c>
      <c r="E29" s="135">
        <v>0</v>
      </c>
      <c r="F29" s="136"/>
      <c r="G29" s="137">
        <v>0</v>
      </c>
      <c r="H29" s="138"/>
      <c r="I29" s="137">
        <f t="shared" si="1"/>
        <v>0</v>
      </c>
    </row>
    <row r="30" spans="1:16" ht="15.75" thickBot="1" x14ac:dyDescent="0.3">
      <c r="A30" s="210"/>
      <c r="B30" s="211"/>
      <c r="C30" s="212" t="s">
        <v>16</v>
      </c>
      <c r="D30" s="213"/>
      <c r="E30" s="214"/>
      <c r="F30" s="221"/>
      <c r="G30" s="222"/>
      <c r="H30" s="223">
        <f>SUM(H23:H29)</f>
        <v>0</v>
      </c>
      <c r="I30" s="222">
        <f>SUM(I18:I29)</f>
        <v>0</v>
      </c>
    </row>
    <row r="31" spans="1:16" ht="15.75" thickBot="1" x14ac:dyDescent="0.3">
      <c r="A31" s="224"/>
      <c r="B31" s="225"/>
      <c r="C31" s="212" t="s">
        <v>17</v>
      </c>
      <c r="D31" s="226"/>
      <c r="E31" s="226"/>
      <c r="F31" s="215"/>
      <c r="G31" s="215"/>
      <c r="H31" s="215"/>
      <c r="I31" s="227">
        <f>H30+I30</f>
        <v>0</v>
      </c>
    </row>
    <row r="32" spans="1:16" ht="15.75" thickBot="1" x14ac:dyDescent="0.3">
      <c r="A32" s="412" t="s">
        <v>188</v>
      </c>
      <c r="B32" s="408"/>
      <c r="C32" s="408"/>
      <c r="D32" s="408"/>
      <c r="E32" s="408"/>
      <c r="F32" s="408"/>
      <c r="G32" s="408"/>
      <c r="H32" s="408"/>
      <c r="I32" s="413"/>
    </row>
    <row r="33" spans="1:11" ht="38.25" customHeight="1" x14ac:dyDescent="0.25">
      <c r="A33" s="456" t="s">
        <v>18</v>
      </c>
      <c r="B33" s="457" t="s">
        <v>7</v>
      </c>
      <c r="C33" s="458" t="s">
        <v>123</v>
      </c>
      <c r="D33" s="459" t="s">
        <v>19</v>
      </c>
      <c r="E33" s="460">
        <v>44.2</v>
      </c>
      <c r="F33" s="461"/>
      <c r="G33" s="462">
        <v>0</v>
      </c>
      <c r="H33" s="461"/>
      <c r="I33" s="462">
        <f>E33*G33</f>
        <v>0</v>
      </c>
      <c r="J33" s="35"/>
      <c r="K33" s="41">
        <f>3.14*0.2*0.2*44.2</f>
        <v>5.5515200000000009</v>
      </c>
    </row>
    <row r="34" spans="1:11" ht="40.5" customHeight="1" x14ac:dyDescent="0.25">
      <c r="A34" s="463" t="s">
        <v>20</v>
      </c>
      <c r="B34" s="464" t="s">
        <v>11</v>
      </c>
      <c r="C34" s="465" t="s">
        <v>124</v>
      </c>
      <c r="D34" s="466" t="s">
        <v>19</v>
      </c>
      <c r="E34" s="467">
        <f>1.025*E33</f>
        <v>45.305</v>
      </c>
      <c r="F34" s="468">
        <v>0</v>
      </c>
      <c r="G34" s="469"/>
      <c r="H34" s="468">
        <f>E34*F34</f>
        <v>0</v>
      </c>
      <c r="I34" s="469"/>
    </row>
    <row r="35" spans="1:11" ht="37.5" customHeight="1" x14ac:dyDescent="0.25">
      <c r="A35" s="463" t="s">
        <v>120</v>
      </c>
      <c r="B35" s="464" t="s">
        <v>11</v>
      </c>
      <c r="C35" s="465" t="s">
        <v>125</v>
      </c>
      <c r="D35" s="466" t="s">
        <v>24</v>
      </c>
      <c r="E35" s="467">
        <v>5</v>
      </c>
      <c r="F35" s="468">
        <v>0</v>
      </c>
      <c r="G35" s="470"/>
      <c r="H35" s="468">
        <f>E35*F35</f>
        <v>0</v>
      </c>
      <c r="I35" s="470"/>
    </row>
    <row r="36" spans="1:11" ht="37.5" customHeight="1" x14ac:dyDescent="0.25">
      <c r="A36" s="471" t="s">
        <v>21</v>
      </c>
      <c r="B36" s="472" t="s">
        <v>7</v>
      </c>
      <c r="C36" s="473" t="s">
        <v>217</v>
      </c>
      <c r="D36" s="474" t="s">
        <v>19</v>
      </c>
      <c r="E36" s="475">
        <v>80.349999999999994</v>
      </c>
      <c r="F36" s="476"/>
      <c r="G36" s="470">
        <v>0</v>
      </c>
      <c r="H36" s="476"/>
      <c r="I36" s="470">
        <f>E36*G36</f>
        <v>0</v>
      </c>
      <c r="K36" s="41">
        <f>3.14*0.158*0.158*44.95</f>
        <v>3.5234938520000005</v>
      </c>
    </row>
    <row r="37" spans="1:11" ht="37.5" customHeight="1" x14ac:dyDescent="0.25">
      <c r="A37" s="477" t="s">
        <v>22</v>
      </c>
      <c r="B37" s="478" t="s">
        <v>11</v>
      </c>
      <c r="C37" s="479" t="s">
        <v>218</v>
      </c>
      <c r="D37" s="480" t="s">
        <v>19</v>
      </c>
      <c r="E37" s="481">
        <f>1.025*E36</f>
        <v>82.358749999999986</v>
      </c>
      <c r="F37" s="482">
        <v>0</v>
      </c>
      <c r="G37" s="470"/>
      <c r="H37" s="482">
        <f t="shared" ref="H37:H38" si="3">E37*F37</f>
        <v>0</v>
      </c>
      <c r="I37" s="470"/>
    </row>
    <row r="38" spans="1:11" ht="37.5" customHeight="1" x14ac:dyDescent="0.25">
      <c r="A38" s="477" t="s">
        <v>23</v>
      </c>
      <c r="B38" s="478" t="s">
        <v>11</v>
      </c>
      <c r="C38" s="479" t="s">
        <v>219</v>
      </c>
      <c r="D38" s="480" t="s">
        <v>24</v>
      </c>
      <c r="E38" s="481">
        <v>12</v>
      </c>
      <c r="F38" s="482">
        <v>0</v>
      </c>
      <c r="G38" s="470"/>
      <c r="H38" s="482">
        <f t="shared" si="3"/>
        <v>0</v>
      </c>
      <c r="I38" s="470"/>
    </row>
    <row r="39" spans="1:11" ht="45.75" customHeight="1" x14ac:dyDescent="0.25">
      <c r="A39" s="471" t="s">
        <v>28</v>
      </c>
      <c r="B39" s="472" t="s">
        <v>7</v>
      </c>
      <c r="C39" s="473" t="s">
        <v>94</v>
      </c>
      <c r="D39" s="480" t="s">
        <v>19</v>
      </c>
      <c r="E39" s="475">
        <v>152.82</v>
      </c>
      <c r="F39" s="482"/>
      <c r="G39" s="470">
        <v>0</v>
      </c>
      <c r="H39" s="482">
        <f t="shared" ref="H39:H41" si="4">E39*F39</f>
        <v>0</v>
      </c>
      <c r="I39" s="470">
        <f>E39*G39</f>
        <v>0</v>
      </c>
      <c r="K39" s="41">
        <f>3.14*0.125*0.125*170.46</f>
        <v>8.3631937500000006</v>
      </c>
    </row>
    <row r="40" spans="1:11" ht="42.75" customHeight="1" x14ac:dyDescent="0.25">
      <c r="A40" s="483" t="s">
        <v>29</v>
      </c>
      <c r="B40" s="484" t="s">
        <v>11</v>
      </c>
      <c r="C40" s="485" t="s">
        <v>95</v>
      </c>
      <c r="D40" s="486" t="s">
        <v>19</v>
      </c>
      <c r="E40" s="487">
        <f>1.025*E39</f>
        <v>156.64049999999997</v>
      </c>
      <c r="F40" s="488">
        <v>0</v>
      </c>
      <c r="G40" s="489"/>
      <c r="H40" s="482">
        <f t="shared" si="4"/>
        <v>0</v>
      </c>
      <c r="I40" s="489"/>
    </row>
    <row r="41" spans="1:11" ht="26.25" thickBot="1" x14ac:dyDescent="0.3">
      <c r="A41" s="477" t="s">
        <v>58</v>
      </c>
      <c r="B41" s="490" t="s">
        <v>11</v>
      </c>
      <c r="C41" s="491" t="s">
        <v>96</v>
      </c>
      <c r="D41" s="486" t="s">
        <v>24</v>
      </c>
      <c r="E41" s="487">
        <f>12+20</f>
        <v>32</v>
      </c>
      <c r="F41" s="482">
        <v>0</v>
      </c>
      <c r="G41" s="489"/>
      <c r="H41" s="482">
        <f t="shared" si="4"/>
        <v>0</v>
      </c>
      <c r="I41" s="489"/>
    </row>
    <row r="42" spans="1:11" ht="15.75" thickBot="1" x14ac:dyDescent="0.3">
      <c r="A42" s="229"/>
      <c r="B42" s="230"/>
      <c r="C42" s="231" t="s">
        <v>16</v>
      </c>
      <c r="D42" s="232"/>
      <c r="E42" s="233"/>
      <c r="F42" s="234"/>
      <c r="G42" s="234"/>
      <c r="H42" s="235">
        <f>SUM(H34:H41)</f>
        <v>0</v>
      </c>
      <c r="I42" s="236">
        <f>SUM(I33:I41)</f>
        <v>0</v>
      </c>
    </row>
    <row r="43" spans="1:11" ht="15.75" thickBot="1" x14ac:dyDescent="0.3">
      <c r="A43" s="237"/>
      <c r="B43" s="238"/>
      <c r="C43" s="231" t="s">
        <v>17</v>
      </c>
      <c r="D43" s="239"/>
      <c r="E43" s="233"/>
      <c r="F43" s="234"/>
      <c r="G43" s="234"/>
      <c r="H43" s="227"/>
      <c r="I43" s="227">
        <f>H42+I42</f>
        <v>0</v>
      </c>
    </row>
    <row r="44" spans="1:11" ht="16.5" thickBot="1" x14ac:dyDescent="0.3">
      <c r="A44" s="444" t="s">
        <v>130</v>
      </c>
      <c r="B44" s="445"/>
      <c r="C44" s="445"/>
      <c r="D44" s="445"/>
      <c r="E44" s="445"/>
      <c r="F44" s="445"/>
      <c r="G44" s="445"/>
      <c r="H44" s="445"/>
      <c r="I44" s="446"/>
    </row>
    <row r="45" spans="1:11" ht="38.25" x14ac:dyDescent="0.25">
      <c r="A45" s="240"/>
      <c r="B45" s="241" t="s">
        <v>7</v>
      </c>
      <c r="C45" s="241" t="s">
        <v>173</v>
      </c>
      <c r="D45" s="242" t="s">
        <v>19</v>
      </c>
      <c r="E45" s="243">
        <f>4.3*3</f>
        <v>12.899999999999999</v>
      </c>
      <c r="F45" s="244"/>
      <c r="G45" s="245">
        <v>0</v>
      </c>
      <c r="H45" s="246"/>
      <c r="I45" s="245">
        <f>E45*G45</f>
        <v>0</v>
      </c>
      <c r="K45" s="41">
        <f>3.14*0.2*0.2*12.9</f>
        <v>1.6202400000000003</v>
      </c>
    </row>
    <row r="46" spans="1:11" ht="38.25" x14ac:dyDescent="0.25">
      <c r="A46" s="247"/>
      <c r="B46" s="248" t="s">
        <v>11</v>
      </c>
      <c r="C46" s="248" t="s">
        <v>174</v>
      </c>
      <c r="D46" s="249" t="s">
        <v>19</v>
      </c>
      <c r="E46" s="250">
        <v>12.9</v>
      </c>
      <c r="F46" s="251">
        <v>0</v>
      </c>
      <c r="G46" s="252"/>
      <c r="H46" s="253">
        <f>E46*F46</f>
        <v>0</v>
      </c>
      <c r="I46" s="252"/>
    </row>
    <row r="47" spans="1:11" ht="45.75" customHeight="1" x14ac:dyDescent="0.25">
      <c r="A47" s="254" t="s">
        <v>18</v>
      </c>
      <c r="B47" s="255" t="s">
        <v>7</v>
      </c>
      <c r="C47" s="256" t="s">
        <v>59</v>
      </c>
      <c r="D47" s="257" t="s">
        <v>19</v>
      </c>
      <c r="E47" s="258">
        <f>7.55+7.53+5.34+6.68</f>
        <v>27.1</v>
      </c>
      <c r="F47" s="113"/>
      <c r="G47" s="114">
        <v>0</v>
      </c>
      <c r="H47" s="111"/>
      <c r="I47" s="114">
        <f>E47*G47</f>
        <v>0</v>
      </c>
      <c r="J47" s="307"/>
    </row>
    <row r="48" spans="1:11" ht="51" x14ac:dyDescent="0.25">
      <c r="A48" s="259" t="s">
        <v>20</v>
      </c>
      <c r="B48" s="260" t="s">
        <v>11</v>
      </c>
      <c r="C48" s="261" t="s">
        <v>87</v>
      </c>
      <c r="D48" s="262" t="s">
        <v>19</v>
      </c>
      <c r="E48" s="263">
        <f>E47</f>
        <v>27.1</v>
      </c>
      <c r="F48" s="130">
        <v>0</v>
      </c>
      <c r="G48" s="129"/>
      <c r="H48" s="128">
        <f>E48*F48</f>
        <v>0</v>
      </c>
      <c r="I48" s="129"/>
    </row>
    <row r="49" spans="1:13" ht="25.5" x14ac:dyDescent="0.25">
      <c r="A49" s="259" t="s">
        <v>120</v>
      </c>
      <c r="B49" s="260" t="s">
        <v>11</v>
      </c>
      <c r="C49" s="261" t="s">
        <v>88</v>
      </c>
      <c r="D49" s="262" t="s">
        <v>24</v>
      </c>
      <c r="E49" s="264">
        <v>4</v>
      </c>
      <c r="F49" s="130">
        <v>0</v>
      </c>
      <c r="G49" s="129"/>
      <c r="H49" s="128">
        <f>E49*F49</f>
        <v>0</v>
      </c>
      <c r="I49" s="129"/>
    </row>
    <row r="50" spans="1:13" ht="25.5" x14ac:dyDescent="0.25">
      <c r="A50" s="265" t="s">
        <v>28</v>
      </c>
      <c r="B50" s="266" t="s">
        <v>7</v>
      </c>
      <c r="C50" s="267" t="s">
        <v>39</v>
      </c>
      <c r="D50" s="268" t="s">
        <v>24</v>
      </c>
      <c r="E50" s="269">
        <v>4</v>
      </c>
      <c r="F50" s="270"/>
      <c r="G50" s="271">
        <v>0</v>
      </c>
      <c r="H50" s="272"/>
      <c r="I50" s="271">
        <f>E50*G50</f>
        <v>0</v>
      </c>
    </row>
    <row r="51" spans="1:13" x14ac:dyDescent="0.25">
      <c r="A51" s="265" t="s">
        <v>30</v>
      </c>
      <c r="B51" s="266" t="s">
        <v>7</v>
      </c>
      <c r="C51" s="267" t="s">
        <v>60</v>
      </c>
      <c r="D51" s="268" t="s">
        <v>24</v>
      </c>
      <c r="E51" s="269">
        <v>4</v>
      </c>
      <c r="F51" s="270"/>
      <c r="G51" s="271">
        <v>0</v>
      </c>
      <c r="H51" s="272"/>
      <c r="I51" s="271">
        <f>E51*G51</f>
        <v>0</v>
      </c>
    </row>
    <row r="52" spans="1:13" ht="25.5" x14ac:dyDescent="0.25">
      <c r="A52" s="273" t="s">
        <v>25</v>
      </c>
      <c r="B52" s="274" t="s">
        <v>11</v>
      </c>
      <c r="C52" s="275" t="s">
        <v>61</v>
      </c>
      <c r="D52" s="276" t="s">
        <v>24</v>
      </c>
      <c r="E52" s="277">
        <v>4</v>
      </c>
      <c r="F52" s="152">
        <v>0</v>
      </c>
      <c r="G52" s="278"/>
      <c r="H52" s="279">
        <f>E52*F52</f>
        <v>0</v>
      </c>
      <c r="I52" s="278"/>
    </row>
    <row r="53" spans="1:13" ht="15.75" thickBot="1" x14ac:dyDescent="0.3">
      <c r="A53" s="280" t="s">
        <v>35</v>
      </c>
      <c r="B53" s="281" t="s">
        <v>7</v>
      </c>
      <c r="C53" s="282" t="s">
        <v>172</v>
      </c>
      <c r="D53" s="283" t="s">
        <v>24</v>
      </c>
      <c r="E53" s="284">
        <v>4</v>
      </c>
      <c r="F53" s="285"/>
      <c r="G53" s="137">
        <v>0</v>
      </c>
      <c r="H53" s="286"/>
      <c r="I53" s="137">
        <f>E53*G53</f>
        <v>0</v>
      </c>
    </row>
    <row r="54" spans="1:13" ht="15.75" thickBot="1" x14ac:dyDescent="0.3">
      <c r="A54" s="287"/>
      <c r="B54" s="287"/>
      <c r="C54" s="417" t="s">
        <v>16</v>
      </c>
      <c r="D54" s="417"/>
      <c r="E54" s="418"/>
      <c r="F54" s="288"/>
      <c r="G54" s="289"/>
      <c r="H54" s="290">
        <f>SUM(H46:H53)</f>
        <v>0</v>
      </c>
      <c r="I54" s="291">
        <f>SUM(I45:I53)</f>
        <v>0</v>
      </c>
    </row>
    <row r="55" spans="1:13" ht="15.75" thickBot="1" x14ac:dyDescent="0.3">
      <c r="A55" s="292"/>
      <c r="B55" s="292"/>
      <c r="C55" s="417" t="s">
        <v>17</v>
      </c>
      <c r="D55" s="417"/>
      <c r="E55" s="418"/>
      <c r="F55" s="288"/>
      <c r="G55" s="289"/>
      <c r="H55" s="293"/>
      <c r="I55" s="291">
        <f>H54+I54</f>
        <v>0</v>
      </c>
    </row>
    <row r="56" spans="1:13" ht="15.75" thickBot="1" x14ac:dyDescent="0.3">
      <c r="A56" s="237"/>
      <c r="B56" s="238"/>
      <c r="C56" s="408" t="s">
        <v>131</v>
      </c>
      <c r="D56" s="408"/>
      <c r="E56" s="408"/>
      <c r="F56" s="408"/>
      <c r="G56" s="294"/>
      <c r="H56" s="294"/>
      <c r="I56" s="295"/>
    </row>
    <row r="57" spans="1:13" ht="25.5" x14ac:dyDescent="0.25">
      <c r="A57" s="173" t="s">
        <v>18</v>
      </c>
      <c r="B57" s="169" t="s">
        <v>7</v>
      </c>
      <c r="C57" s="170" t="s">
        <v>63</v>
      </c>
      <c r="D57" s="185" t="s">
        <v>8</v>
      </c>
      <c r="E57" s="186">
        <f>0.31*3+0.106*20</f>
        <v>3.05</v>
      </c>
      <c r="F57" s="187"/>
      <c r="G57" s="188">
        <v>0</v>
      </c>
      <c r="H57" s="174"/>
      <c r="I57" s="164">
        <f>E57*G57</f>
        <v>0</v>
      </c>
    </row>
    <row r="58" spans="1:13" ht="43.5" customHeight="1" x14ac:dyDescent="0.25">
      <c r="A58" s="171" t="s">
        <v>20</v>
      </c>
      <c r="B58" s="159" t="s">
        <v>11</v>
      </c>
      <c r="C58" s="160" t="s">
        <v>64</v>
      </c>
      <c r="D58" s="161" t="s">
        <v>8</v>
      </c>
      <c r="E58" s="189">
        <f>1.25*E57</f>
        <v>3.8125</v>
      </c>
      <c r="F58" s="190">
        <v>0</v>
      </c>
      <c r="G58" s="183"/>
      <c r="H58" s="163">
        <f>E58*F58</f>
        <v>0</v>
      </c>
      <c r="I58" s="172"/>
    </row>
    <row r="59" spans="1:13" ht="51" x14ac:dyDescent="0.25">
      <c r="A59" s="106" t="s">
        <v>21</v>
      </c>
      <c r="B59" s="169" t="s">
        <v>7</v>
      </c>
      <c r="C59" s="170" t="s">
        <v>177</v>
      </c>
      <c r="D59" s="109" t="s">
        <v>8</v>
      </c>
      <c r="E59" s="166">
        <v>8.7200000000000006</v>
      </c>
      <c r="F59" s="176"/>
      <c r="G59" s="182">
        <v>0</v>
      </c>
      <c r="H59" s="111"/>
      <c r="I59" s="114">
        <f>E59*G59</f>
        <v>0</v>
      </c>
      <c r="K59" s="40">
        <f>K60+K62+K63+K65</f>
        <v>5.5</v>
      </c>
      <c r="L59" s="40">
        <f>0.23*E60</f>
        <v>3.22</v>
      </c>
      <c r="M59" s="40">
        <f>K59+L59</f>
        <v>8.7200000000000006</v>
      </c>
    </row>
    <row r="60" spans="1:13" x14ac:dyDescent="0.25">
      <c r="A60" s="125" t="s">
        <v>22</v>
      </c>
      <c r="B60" s="126" t="s">
        <v>11</v>
      </c>
      <c r="C60" s="155" t="s">
        <v>65</v>
      </c>
      <c r="D60" s="157" t="s">
        <v>24</v>
      </c>
      <c r="E60" s="158">
        <v>14</v>
      </c>
      <c r="F60" s="175">
        <v>0</v>
      </c>
      <c r="G60" s="181"/>
      <c r="H60" s="128">
        <f t="shared" ref="H60:H70" si="5">E60*F60</f>
        <v>0</v>
      </c>
      <c r="I60" s="129"/>
      <c r="K60" s="40">
        <f>0.18*E60</f>
        <v>2.52</v>
      </c>
    </row>
    <row r="61" spans="1:13" ht="25.5" x14ac:dyDescent="0.25">
      <c r="A61" s="125" t="s">
        <v>23</v>
      </c>
      <c r="B61" s="159" t="s">
        <v>11</v>
      </c>
      <c r="C61" s="160" t="s">
        <v>68</v>
      </c>
      <c r="D61" s="157" t="s">
        <v>24</v>
      </c>
      <c r="E61" s="158">
        <f>7+7+3</f>
        <v>17</v>
      </c>
      <c r="F61" s="175">
        <v>0</v>
      </c>
      <c r="G61" s="181"/>
      <c r="H61" s="128">
        <f>E61*F61</f>
        <v>0</v>
      </c>
      <c r="I61" s="129"/>
      <c r="K61" s="40">
        <f>0.16*E61</f>
        <v>2.72</v>
      </c>
    </row>
    <row r="62" spans="1:13" ht="28.5" customHeight="1" x14ac:dyDescent="0.25">
      <c r="A62" s="125" t="s">
        <v>67</v>
      </c>
      <c r="B62" s="159" t="s">
        <v>11</v>
      </c>
      <c r="C62" s="160" t="s">
        <v>66</v>
      </c>
      <c r="D62" s="157" t="s">
        <v>24</v>
      </c>
      <c r="E62" s="158">
        <f>1+3+1</f>
        <v>5</v>
      </c>
      <c r="F62" s="175">
        <v>0</v>
      </c>
      <c r="G62" s="181"/>
      <c r="H62" s="128">
        <f t="shared" si="5"/>
        <v>0</v>
      </c>
      <c r="I62" s="129"/>
      <c r="K62" s="40">
        <f>0.24*E62</f>
        <v>1.2</v>
      </c>
    </row>
    <row r="63" spans="1:13" x14ac:dyDescent="0.25">
      <c r="A63" s="125" t="s">
        <v>69</v>
      </c>
      <c r="B63" s="159" t="s">
        <v>11</v>
      </c>
      <c r="C63" s="160" t="s">
        <v>70</v>
      </c>
      <c r="D63" s="157" t="s">
        <v>24</v>
      </c>
      <c r="E63" s="158">
        <v>14</v>
      </c>
      <c r="F63" s="175">
        <v>0</v>
      </c>
      <c r="G63" s="181"/>
      <c r="H63" s="128">
        <f t="shared" si="5"/>
        <v>0</v>
      </c>
      <c r="I63" s="129"/>
      <c r="K63" s="40">
        <f>0.1*E63</f>
        <v>1.4000000000000001</v>
      </c>
    </row>
    <row r="64" spans="1:13" ht="25.5" x14ac:dyDescent="0.25">
      <c r="A64" s="125" t="s">
        <v>71</v>
      </c>
      <c r="B64" s="159" t="s">
        <v>11</v>
      </c>
      <c r="C64" s="160" t="s">
        <v>99</v>
      </c>
      <c r="D64" s="161" t="s">
        <v>24</v>
      </c>
      <c r="E64" s="162">
        <f>3+5+2</f>
        <v>10</v>
      </c>
      <c r="F64" s="177">
        <v>0</v>
      </c>
      <c r="G64" s="183"/>
      <c r="H64" s="163">
        <f>E64*F64</f>
        <v>0</v>
      </c>
      <c r="I64" s="172"/>
      <c r="K64" s="40">
        <f>0.05*E64</f>
        <v>0.5</v>
      </c>
    </row>
    <row r="65" spans="1:13" x14ac:dyDescent="0.25">
      <c r="A65" s="125" t="s">
        <v>73</v>
      </c>
      <c r="B65" s="126" t="s">
        <v>11</v>
      </c>
      <c r="C65" s="155" t="s">
        <v>72</v>
      </c>
      <c r="D65" s="157" t="s">
        <v>24</v>
      </c>
      <c r="E65" s="158">
        <f>8+7+4</f>
        <v>19</v>
      </c>
      <c r="F65" s="175">
        <v>0</v>
      </c>
      <c r="G65" s="181"/>
      <c r="H65" s="128">
        <f t="shared" si="5"/>
        <v>0</v>
      </c>
      <c r="I65" s="129"/>
      <c r="K65" s="40">
        <f>0.02*E65</f>
        <v>0.38</v>
      </c>
    </row>
    <row r="66" spans="1:13" x14ac:dyDescent="0.25">
      <c r="A66" s="125" t="s">
        <v>132</v>
      </c>
      <c r="B66" s="126" t="s">
        <v>11</v>
      </c>
      <c r="C66" s="155" t="s">
        <v>100</v>
      </c>
      <c r="D66" s="157" t="s">
        <v>24</v>
      </c>
      <c r="E66" s="158">
        <v>3</v>
      </c>
      <c r="F66" s="175">
        <v>0</v>
      </c>
      <c r="G66" s="181"/>
      <c r="H66" s="128">
        <f t="shared" ref="H66" si="6">E66*F66</f>
        <v>0</v>
      </c>
      <c r="I66" s="129"/>
    </row>
    <row r="67" spans="1:13" x14ac:dyDescent="0.25">
      <c r="A67" s="125" t="s">
        <v>133</v>
      </c>
      <c r="B67" s="126" t="s">
        <v>11</v>
      </c>
      <c r="C67" s="155" t="s">
        <v>89</v>
      </c>
      <c r="D67" s="157" t="s">
        <v>24</v>
      </c>
      <c r="E67" s="158">
        <v>3</v>
      </c>
      <c r="F67" s="175">
        <v>0</v>
      </c>
      <c r="G67" s="181"/>
      <c r="H67" s="128">
        <f t="shared" si="5"/>
        <v>0</v>
      </c>
      <c r="I67" s="129"/>
    </row>
    <row r="68" spans="1:13" x14ac:dyDescent="0.25">
      <c r="A68" s="125" t="s">
        <v>178</v>
      </c>
      <c r="B68" s="126" t="s">
        <v>11</v>
      </c>
      <c r="C68" s="155" t="s">
        <v>90</v>
      </c>
      <c r="D68" s="157" t="s">
        <v>24</v>
      </c>
      <c r="E68" s="158">
        <v>5</v>
      </c>
      <c r="F68" s="175">
        <v>0</v>
      </c>
      <c r="G68" s="181"/>
      <c r="H68" s="128">
        <f t="shared" si="5"/>
        <v>0</v>
      </c>
      <c r="I68" s="129"/>
    </row>
    <row r="69" spans="1:13" x14ac:dyDescent="0.25">
      <c r="A69" s="125" t="s">
        <v>179</v>
      </c>
      <c r="B69" s="126" t="s">
        <v>11</v>
      </c>
      <c r="C69" s="155" t="s">
        <v>92</v>
      </c>
      <c r="D69" s="157" t="s">
        <v>24</v>
      </c>
      <c r="E69" s="158">
        <v>2</v>
      </c>
      <c r="F69" s="175">
        <v>0</v>
      </c>
      <c r="G69" s="181"/>
      <c r="H69" s="128">
        <f t="shared" si="5"/>
        <v>0</v>
      </c>
      <c r="I69" s="129"/>
    </row>
    <row r="70" spans="1:13" x14ac:dyDescent="0.25">
      <c r="A70" s="125" t="s">
        <v>180</v>
      </c>
      <c r="B70" s="126" t="s">
        <v>11</v>
      </c>
      <c r="C70" s="155" t="s">
        <v>74</v>
      </c>
      <c r="D70" s="157" t="s">
        <v>24</v>
      </c>
      <c r="E70" s="158">
        <f>3+11+16+3+5</f>
        <v>38</v>
      </c>
      <c r="F70" s="175">
        <v>0</v>
      </c>
      <c r="G70" s="181"/>
      <c r="H70" s="128">
        <f t="shared" si="5"/>
        <v>0</v>
      </c>
      <c r="I70" s="129"/>
    </row>
    <row r="71" spans="1:13" ht="51" x14ac:dyDescent="0.25">
      <c r="A71" s="106" t="s">
        <v>28</v>
      </c>
      <c r="B71" s="107" t="s">
        <v>7</v>
      </c>
      <c r="C71" s="165" t="s">
        <v>176</v>
      </c>
      <c r="D71" s="109" t="s">
        <v>8</v>
      </c>
      <c r="E71" s="166">
        <v>4.17</v>
      </c>
      <c r="F71" s="176"/>
      <c r="G71" s="182">
        <v>0</v>
      </c>
      <c r="H71" s="111"/>
      <c r="I71" s="114">
        <f>E71*G71</f>
        <v>0</v>
      </c>
      <c r="K71" s="40">
        <f>K72+K73+K74+K75+K76+K77</f>
        <v>2.77</v>
      </c>
      <c r="L71" s="40">
        <f>0.7*2</f>
        <v>1.4</v>
      </c>
      <c r="M71" s="40">
        <f>K71+L71</f>
        <v>4.17</v>
      </c>
    </row>
    <row r="72" spans="1:13" x14ac:dyDescent="0.25">
      <c r="A72" s="171" t="s">
        <v>29</v>
      </c>
      <c r="B72" s="159" t="s">
        <v>11</v>
      </c>
      <c r="C72" s="160" t="s">
        <v>75</v>
      </c>
      <c r="D72" s="161" t="s">
        <v>24</v>
      </c>
      <c r="E72" s="162">
        <v>2</v>
      </c>
      <c r="F72" s="177">
        <v>0</v>
      </c>
      <c r="G72" s="183"/>
      <c r="H72" s="163">
        <f t="shared" ref="H72:H80" si="7">E72*F72</f>
        <v>0</v>
      </c>
      <c r="I72" s="172"/>
      <c r="K72" s="40">
        <f>E72*0.38</f>
        <v>0.76</v>
      </c>
    </row>
    <row r="73" spans="1:13" ht="25.5" x14ac:dyDescent="0.25">
      <c r="A73" s="171" t="s">
        <v>58</v>
      </c>
      <c r="B73" s="159" t="s">
        <v>11</v>
      </c>
      <c r="C73" s="160" t="s">
        <v>76</v>
      </c>
      <c r="D73" s="161" t="s">
        <v>24</v>
      </c>
      <c r="E73" s="162">
        <v>2</v>
      </c>
      <c r="F73" s="177">
        <v>0</v>
      </c>
      <c r="G73" s="183"/>
      <c r="H73" s="163">
        <f t="shared" si="7"/>
        <v>0</v>
      </c>
      <c r="I73" s="172"/>
      <c r="K73" s="40">
        <f>0.265*E73</f>
        <v>0.53</v>
      </c>
    </row>
    <row r="74" spans="1:13" ht="25.5" x14ac:dyDescent="0.25">
      <c r="A74" s="171" t="s">
        <v>77</v>
      </c>
      <c r="B74" s="159" t="s">
        <v>11</v>
      </c>
      <c r="C74" s="160" t="s">
        <v>78</v>
      </c>
      <c r="D74" s="161" t="s">
        <v>24</v>
      </c>
      <c r="E74" s="162">
        <v>2</v>
      </c>
      <c r="F74" s="177">
        <v>0</v>
      </c>
      <c r="G74" s="183"/>
      <c r="H74" s="163">
        <f t="shared" si="7"/>
        <v>0</v>
      </c>
      <c r="I74" s="172"/>
      <c r="K74" s="40">
        <f>0.4*E74</f>
        <v>0.8</v>
      </c>
    </row>
    <row r="75" spans="1:13" ht="24" customHeight="1" x14ac:dyDescent="0.25">
      <c r="A75" s="171" t="s">
        <v>79</v>
      </c>
      <c r="B75" s="159" t="s">
        <v>11</v>
      </c>
      <c r="C75" s="160" t="s">
        <v>80</v>
      </c>
      <c r="D75" s="161" t="s">
        <v>24</v>
      </c>
      <c r="E75" s="162">
        <v>2</v>
      </c>
      <c r="F75" s="177">
        <v>0</v>
      </c>
      <c r="G75" s="183"/>
      <c r="H75" s="163">
        <f t="shared" si="7"/>
        <v>0</v>
      </c>
      <c r="I75" s="172"/>
      <c r="K75" s="40">
        <f>0.27*E75</f>
        <v>0.54</v>
      </c>
    </row>
    <row r="76" spans="1:13" ht="36" customHeight="1" x14ac:dyDescent="0.25">
      <c r="A76" s="171" t="s">
        <v>81</v>
      </c>
      <c r="B76" s="159" t="s">
        <v>11</v>
      </c>
      <c r="C76" s="160" t="s">
        <v>99</v>
      </c>
      <c r="D76" s="161" t="s">
        <v>24</v>
      </c>
      <c r="E76" s="162">
        <v>2</v>
      </c>
      <c r="F76" s="177">
        <v>0</v>
      </c>
      <c r="G76" s="183"/>
      <c r="H76" s="163">
        <f>E76*F76</f>
        <v>0</v>
      </c>
      <c r="I76" s="172"/>
      <c r="K76" s="40">
        <f>0.05*E76</f>
        <v>0.1</v>
      </c>
    </row>
    <row r="77" spans="1:13" x14ac:dyDescent="0.25">
      <c r="A77" s="171" t="s">
        <v>82</v>
      </c>
      <c r="B77" s="159" t="s">
        <v>11</v>
      </c>
      <c r="C77" s="155" t="s">
        <v>72</v>
      </c>
      <c r="D77" s="157" t="s">
        <v>24</v>
      </c>
      <c r="E77" s="158">
        <v>2</v>
      </c>
      <c r="F77" s="177">
        <v>0</v>
      </c>
      <c r="G77" s="181"/>
      <c r="H77" s="163">
        <f t="shared" si="7"/>
        <v>0</v>
      </c>
      <c r="I77" s="129"/>
      <c r="K77" s="40">
        <f>0.02*E77</f>
        <v>0.04</v>
      </c>
    </row>
    <row r="78" spans="1:13" x14ac:dyDescent="0.25">
      <c r="A78" s="171" t="s">
        <v>111</v>
      </c>
      <c r="B78" s="159" t="s">
        <v>11</v>
      </c>
      <c r="C78" s="155" t="s">
        <v>92</v>
      </c>
      <c r="D78" s="157" t="s">
        <v>24</v>
      </c>
      <c r="E78" s="158">
        <v>1</v>
      </c>
      <c r="F78" s="177">
        <v>0</v>
      </c>
      <c r="G78" s="181"/>
      <c r="H78" s="163">
        <f t="shared" ref="H78:H79" si="8">E78*F78</f>
        <v>0</v>
      </c>
      <c r="I78" s="129"/>
    </row>
    <row r="79" spans="1:13" x14ac:dyDescent="0.25">
      <c r="A79" s="171" t="s">
        <v>112</v>
      </c>
      <c r="B79" s="159" t="s">
        <v>11</v>
      </c>
      <c r="C79" s="155" t="s">
        <v>91</v>
      </c>
      <c r="D79" s="157" t="s">
        <v>24</v>
      </c>
      <c r="E79" s="158">
        <v>1</v>
      </c>
      <c r="F79" s="177">
        <v>0</v>
      </c>
      <c r="G79" s="181"/>
      <c r="H79" s="163">
        <f t="shared" si="8"/>
        <v>0</v>
      </c>
      <c r="I79" s="129"/>
    </row>
    <row r="80" spans="1:13" x14ac:dyDescent="0.25">
      <c r="A80" s="171" t="s">
        <v>113</v>
      </c>
      <c r="B80" s="159" t="s">
        <v>11</v>
      </c>
      <c r="C80" s="155" t="s">
        <v>74</v>
      </c>
      <c r="D80" s="157" t="s">
        <v>24</v>
      </c>
      <c r="E80" s="158">
        <v>6</v>
      </c>
      <c r="F80" s="177">
        <v>0</v>
      </c>
      <c r="G80" s="181"/>
      <c r="H80" s="163">
        <f t="shared" si="7"/>
        <v>0</v>
      </c>
      <c r="I80" s="129"/>
    </row>
    <row r="81" spans="1:16" ht="71.25" customHeight="1" x14ac:dyDescent="0.25">
      <c r="A81" s="106" t="s">
        <v>30</v>
      </c>
      <c r="B81" s="107" t="s">
        <v>7</v>
      </c>
      <c r="C81" s="165" t="s">
        <v>175</v>
      </c>
      <c r="D81" s="109" t="s">
        <v>8</v>
      </c>
      <c r="E81" s="166">
        <v>3.34</v>
      </c>
      <c r="F81" s="179"/>
      <c r="G81" s="182">
        <v>0</v>
      </c>
      <c r="H81" s="111"/>
      <c r="I81" s="114">
        <f>E81*G81</f>
        <v>0</v>
      </c>
      <c r="K81" s="40">
        <f>K82+K83+K84+K85+K86</f>
        <v>3.34</v>
      </c>
      <c r="L81" s="40">
        <v>0</v>
      </c>
    </row>
    <row r="82" spans="1:16" x14ac:dyDescent="0.25">
      <c r="A82" s="125" t="s">
        <v>25</v>
      </c>
      <c r="B82" s="126" t="s">
        <v>11</v>
      </c>
      <c r="C82" s="155" t="s">
        <v>65</v>
      </c>
      <c r="D82" s="157" t="s">
        <v>24</v>
      </c>
      <c r="E82" s="158">
        <v>6</v>
      </c>
      <c r="F82" s="175">
        <v>0</v>
      </c>
      <c r="G82" s="182"/>
      <c r="H82" s="128">
        <f t="shared" ref="H82:H88" si="9">E82*F82</f>
        <v>0</v>
      </c>
      <c r="I82" s="114"/>
      <c r="K82" s="40">
        <f>E82*0.18</f>
        <v>1.08</v>
      </c>
    </row>
    <row r="83" spans="1:16" ht="25.5" x14ac:dyDescent="0.25">
      <c r="A83" s="125" t="s">
        <v>26</v>
      </c>
      <c r="B83" s="159" t="s">
        <v>11</v>
      </c>
      <c r="C83" s="160" t="s">
        <v>68</v>
      </c>
      <c r="D83" s="157" t="s">
        <v>24</v>
      </c>
      <c r="E83" s="158">
        <v>6</v>
      </c>
      <c r="F83" s="175">
        <v>0</v>
      </c>
      <c r="G83" s="182"/>
      <c r="H83" s="128">
        <f t="shared" si="9"/>
        <v>0</v>
      </c>
      <c r="I83" s="114"/>
      <c r="K83" s="40">
        <v>0.16</v>
      </c>
    </row>
    <row r="84" spans="1:16" ht="25.5" x14ac:dyDescent="0.25">
      <c r="A84" s="125" t="s">
        <v>32</v>
      </c>
      <c r="B84" s="159" t="s">
        <v>11</v>
      </c>
      <c r="C84" s="160" t="s">
        <v>136</v>
      </c>
      <c r="D84" s="157" t="s">
        <v>24</v>
      </c>
      <c r="E84" s="158">
        <v>6</v>
      </c>
      <c r="F84" s="175">
        <v>0</v>
      </c>
      <c r="G84" s="182"/>
      <c r="H84" s="128">
        <f t="shared" si="9"/>
        <v>0</v>
      </c>
      <c r="I84" s="114"/>
      <c r="K84" s="40">
        <f>0.24*E84</f>
        <v>1.44</v>
      </c>
    </row>
    <row r="85" spans="1:16" x14ac:dyDescent="0.25">
      <c r="A85" s="125" t="s">
        <v>34</v>
      </c>
      <c r="B85" s="159" t="s">
        <v>11</v>
      </c>
      <c r="C85" s="160" t="s">
        <v>70</v>
      </c>
      <c r="D85" s="157" t="s">
        <v>24</v>
      </c>
      <c r="E85" s="158">
        <v>6</v>
      </c>
      <c r="F85" s="175">
        <v>0</v>
      </c>
      <c r="G85" s="182"/>
      <c r="H85" s="128">
        <f t="shared" si="9"/>
        <v>0</v>
      </c>
      <c r="I85" s="114"/>
      <c r="K85" s="40">
        <f>E85*0.1</f>
        <v>0.60000000000000009</v>
      </c>
    </row>
    <row r="86" spans="1:16" x14ac:dyDescent="0.25">
      <c r="A86" s="125" t="s">
        <v>107</v>
      </c>
      <c r="B86" s="126" t="s">
        <v>11</v>
      </c>
      <c r="C86" s="155" t="s">
        <v>72</v>
      </c>
      <c r="D86" s="157" t="s">
        <v>24</v>
      </c>
      <c r="E86" s="158">
        <v>6</v>
      </c>
      <c r="F86" s="175">
        <v>0</v>
      </c>
      <c r="G86" s="182"/>
      <c r="H86" s="128">
        <f t="shared" si="9"/>
        <v>0</v>
      </c>
      <c r="I86" s="114"/>
      <c r="K86" s="40">
        <f>0.02*3</f>
        <v>0.06</v>
      </c>
    </row>
    <row r="87" spans="1:16" x14ac:dyDescent="0.25">
      <c r="A87" s="125" t="s">
        <v>108</v>
      </c>
      <c r="B87" s="126" t="s">
        <v>11</v>
      </c>
      <c r="C87" s="160" t="s">
        <v>92</v>
      </c>
      <c r="D87" s="161" t="s">
        <v>24</v>
      </c>
      <c r="E87" s="162">
        <v>3</v>
      </c>
      <c r="F87" s="177">
        <v>0</v>
      </c>
      <c r="G87" s="184"/>
      <c r="H87" s="163">
        <f t="shared" si="9"/>
        <v>0</v>
      </c>
      <c r="I87" s="164"/>
    </row>
    <row r="88" spans="1:16" x14ac:dyDescent="0.25">
      <c r="A88" s="125" t="s">
        <v>109</v>
      </c>
      <c r="B88" s="126" t="s">
        <v>11</v>
      </c>
      <c r="C88" s="160" t="s">
        <v>105</v>
      </c>
      <c r="D88" s="161" t="s">
        <v>24</v>
      </c>
      <c r="E88" s="162">
        <f>2*6</f>
        <v>12</v>
      </c>
      <c r="F88" s="177">
        <v>0</v>
      </c>
      <c r="G88" s="184"/>
      <c r="H88" s="163">
        <f t="shared" si="9"/>
        <v>0</v>
      </c>
      <c r="I88" s="164"/>
    </row>
    <row r="89" spans="1:16" ht="38.25" x14ac:dyDescent="0.25">
      <c r="A89" s="173" t="s">
        <v>35</v>
      </c>
      <c r="B89" s="169" t="s">
        <v>7</v>
      </c>
      <c r="C89" s="170" t="s">
        <v>181</v>
      </c>
      <c r="D89" s="185" t="s">
        <v>8</v>
      </c>
      <c r="E89" s="191">
        <f>0.85*E90</f>
        <v>14.45</v>
      </c>
      <c r="F89" s="178"/>
      <c r="G89" s="184">
        <v>0</v>
      </c>
      <c r="H89" s="174"/>
      <c r="I89" s="164">
        <f>E89*G89</f>
        <v>0</v>
      </c>
    </row>
    <row r="90" spans="1:16" x14ac:dyDescent="0.25">
      <c r="A90" s="171" t="s">
        <v>27</v>
      </c>
      <c r="B90" s="159" t="s">
        <v>11</v>
      </c>
      <c r="C90" s="160" t="s">
        <v>182</v>
      </c>
      <c r="D90" s="161" t="s">
        <v>24</v>
      </c>
      <c r="E90" s="162">
        <v>17</v>
      </c>
      <c r="F90" s="177">
        <v>0</v>
      </c>
      <c r="G90" s="184"/>
      <c r="H90" s="163">
        <f>E90*F90</f>
        <v>0</v>
      </c>
      <c r="I90" s="164"/>
    </row>
    <row r="91" spans="1:16" x14ac:dyDescent="0.25">
      <c r="A91" s="173" t="s">
        <v>36</v>
      </c>
      <c r="B91" s="169" t="s">
        <v>7</v>
      </c>
      <c r="C91" s="170" t="s">
        <v>83</v>
      </c>
      <c r="D91" s="185" t="s">
        <v>24</v>
      </c>
      <c r="E91" s="191">
        <f>E92+E94+E95+E93</f>
        <v>22</v>
      </c>
      <c r="F91" s="177"/>
      <c r="G91" s="184">
        <v>0</v>
      </c>
      <c r="H91" s="174"/>
      <c r="I91" s="164">
        <f>E91*G91</f>
        <v>0</v>
      </c>
    </row>
    <row r="92" spans="1:16" ht="25.5" x14ac:dyDescent="0.25">
      <c r="A92" s="125" t="s">
        <v>10</v>
      </c>
      <c r="B92" s="126" t="s">
        <v>11</v>
      </c>
      <c r="C92" s="155" t="s">
        <v>84</v>
      </c>
      <c r="D92" s="157" t="s">
        <v>24</v>
      </c>
      <c r="E92" s="158">
        <v>11</v>
      </c>
      <c r="F92" s="180">
        <v>0</v>
      </c>
      <c r="G92" s="181"/>
      <c r="H92" s="128">
        <f>E92*F92</f>
        <v>0</v>
      </c>
      <c r="I92" s="129"/>
    </row>
    <row r="93" spans="1:16" x14ac:dyDescent="0.25">
      <c r="A93" s="125" t="s">
        <v>41</v>
      </c>
      <c r="B93" s="126" t="s">
        <v>11</v>
      </c>
      <c r="C93" s="155" t="s">
        <v>169</v>
      </c>
      <c r="D93" s="157" t="s">
        <v>24</v>
      </c>
      <c r="E93" s="158">
        <f>1+1+1</f>
        <v>3</v>
      </c>
      <c r="F93" s="180">
        <v>0</v>
      </c>
      <c r="G93" s="181"/>
      <c r="H93" s="128">
        <f>E93*F93</f>
        <v>0</v>
      </c>
      <c r="I93" s="129"/>
    </row>
    <row r="94" spans="1:16" ht="25.5" x14ac:dyDescent="0.25">
      <c r="A94" s="125" t="s">
        <v>189</v>
      </c>
      <c r="B94" s="126" t="s">
        <v>11</v>
      </c>
      <c r="C94" s="155" t="s">
        <v>104</v>
      </c>
      <c r="D94" s="157" t="s">
        <v>24</v>
      </c>
      <c r="E94" s="158">
        <f>1+1</f>
        <v>2</v>
      </c>
      <c r="F94" s="180">
        <v>0</v>
      </c>
      <c r="G94" s="181"/>
      <c r="H94" s="128">
        <f>E94*F94</f>
        <v>0</v>
      </c>
      <c r="I94" s="129"/>
    </row>
    <row r="95" spans="1:16" ht="25.5" x14ac:dyDescent="0.25">
      <c r="A95" s="125" t="s">
        <v>33</v>
      </c>
      <c r="B95" s="126" t="s">
        <v>11</v>
      </c>
      <c r="C95" s="127" t="s">
        <v>103</v>
      </c>
      <c r="D95" s="167" t="s">
        <v>24</v>
      </c>
      <c r="E95" s="168">
        <v>6</v>
      </c>
      <c r="F95" s="180">
        <v>0</v>
      </c>
      <c r="G95" s="181"/>
      <c r="H95" s="128">
        <f>E95*F95</f>
        <v>0</v>
      </c>
      <c r="I95" s="129"/>
    </row>
    <row r="96" spans="1:16" s="36" customFormat="1" ht="25.5" x14ac:dyDescent="0.25">
      <c r="A96" s="192" t="s">
        <v>37</v>
      </c>
      <c r="B96" s="192" t="s">
        <v>7</v>
      </c>
      <c r="C96" s="165" t="s">
        <v>118</v>
      </c>
      <c r="D96" s="109" t="s">
        <v>19</v>
      </c>
      <c r="E96" s="193">
        <f>E47</f>
        <v>27.1</v>
      </c>
      <c r="F96" s="187"/>
      <c r="G96" s="184">
        <v>0</v>
      </c>
      <c r="H96" s="194"/>
      <c r="I96" s="195">
        <f>E96*G96</f>
        <v>0</v>
      </c>
      <c r="J96" s="34"/>
      <c r="K96" s="305"/>
      <c r="L96" s="305"/>
      <c r="M96" s="305"/>
      <c r="N96" s="305"/>
      <c r="O96" s="305"/>
      <c r="P96" s="305"/>
    </row>
    <row r="97" spans="1:16" s="36" customFormat="1" ht="25.5" x14ac:dyDescent="0.25">
      <c r="A97" s="192" t="s">
        <v>38</v>
      </c>
      <c r="B97" s="192" t="s">
        <v>7</v>
      </c>
      <c r="C97" s="165" t="s">
        <v>119</v>
      </c>
      <c r="D97" s="109" t="s">
        <v>19</v>
      </c>
      <c r="E97" s="193">
        <f>E36+E39</f>
        <v>233.17</v>
      </c>
      <c r="F97" s="176"/>
      <c r="G97" s="182">
        <v>0</v>
      </c>
      <c r="H97" s="196"/>
      <c r="I97" s="112">
        <f>E97*G97</f>
        <v>0</v>
      </c>
      <c r="J97" s="34"/>
      <c r="K97" s="305"/>
      <c r="L97" s="305"/>
      <c r="M97" s="305"/>
      <c r="N97" s="305"/>
      <c r="O97" s="305"/>
      <c r="P97" s="305"/>
    </row>
    <row r="98" spans="1:16" s="36" customFormat="1" ht="25.5" x14ac:dyDescent="0.25">
      <c r="A98" s="192" t="s">
        <v>40</v>
      </c>
      <c r="B98" s="192" t="s">
        <v>7</v>
      </c>
      <c r="C98" s="165" t="s">
        <v>150</v>
      </c>
      <c r="D98" s="109" t="s">
        <v>19</v>
      </c>
      <c r="E98" s="193">
        <f>E33</f>
        <v>44.2</v>
      </c>
      <c r="F98" s="176"/>
      <c r="G98" s="182">
        <v>0</v>
      </c>
      <c r="H98" s="196"/>
      <c r="I98" s="112">
        <f t="shared" ref="I98" si="10">E98*G98</f>
        <v>0</v>
      </c>
      <c r="J98" s="34"/>
      <c r="K98" s="305"/>
      <c r="L98" s="305"/>
      <c r="M98" s="305"/>
      <c r="N98" s="305"/>
      <c r="O98" s="305"/>
      <c r="P98" s="305"/>
    </row>
    <row r="99" spans="1:16" s="36" customFormat="1" ht="26.25" thickBot="1" x14ac:dyDescent="0.3">
      <c r="A99" s="197" t="s">
        <v>46</v>
      </c>
      <c r="B99" s="197" t="s">
        <v>7</v>
      </c>
      <c r="C99" s="198" t="s">
        <v>85</v>
      </c>
      <c r="D99" s="199" t="s">
        <v>19</v>
      </c>
      <c r="E99" s="200">
        <f>E96+E97+E98</f>
        <v>304.46999999999997</v>
      </c>
      <c r="F99" s="201"/>
      <c r="G99" s="202">
        <v>0</v>
      </c>
      <c r="H99" s="203"/>
      <c r="I99" s="204">
        <f>E99*G99</f>
        <v>0</v>
      </c>
      <c r="J99" s="34"/>
      <c r="K99" s="305"/>
      <c r="L99" s="305"/>
      <c r="M99" s="305"/>
      <c r="N99" s="305"/>
      <c r="O99" s="305"/>
      <c r="P99" s="305"/>
    </row>
    <row r="100" spans="1:16" s="36" customFormat="1" x14ac:dyDescent="0.25">
      <c r="A100" s="117"/>
      <c r="B100" s="205"/>
      <c r="C100" s="206" t="s">
        <v>16</v>
      </c>
      <c r="D100" s="120"/>
      <c r="E100" s="120"/>
      <c r="F100" s="207"/>
      <c r="G100" s="188"/>
      <c r="H100" s="208">
        <f>SUM(H57:H99)</f>
        <v>0</v>
      </c>
      <c r="I100" s="209">
        <f>SUM(I57:I99)</f>
        <v>0</v>
      </c>
      <c r="J100" s="34"/>
      <c r="K100" s="305"/>
      <c r="L100" s="305"/>
      <c r="M100" s="305"/>
      <c r="N100" s="305"/>
      <c r="O100" s="305"/>
      <c r="P100" s="305"/>
    </row>
    <row r="101" spans="1:16" s="36" customFormat="1" thickBot="1" x14ac:dyDescent="0.3">
      <c r="A101" s="210"/>
      <c r="B101" s="211"/>
      <c r="C101" s="212" t="s">
        <v>17</v>
      </c>
      <c r="D101" s="213"/>
      <c r="E101" s="214"/>
      <c r="F101" s="215"/>
      <c r="G101" s="216"/>
      <c r="H101" s="217"/>
      <c r="I101" s="218">
        <f>H100+I100</f>
        <v>0</v>
      </c>
      <c r="J101" s="34"/>
      <c r="K101" s="305"/>
      <c r="L101" s="305"/>
      <c r="M101" s="305"/>
      <c r="N101" s="305"/>
      <c r="O101" s="305"/>
      <c r="P101" s="305"/>
    </row>
    <row r="102" spans="1:16" s="87" customFormat="1" ht="21" thickBot="1" x14ac:dyDescent="0.3">
      <c r="A102" s="79"/>
      <c r="B102" s="80"/>
      <c r="C102" s="81" t="s">
        <v>152</v>
      </c>
      <c r="D102" s="82"/>
      <c r="E102" s="83"/>
      <c r="F102" s="84"/>
      <c r="G102" s="85"/>
      <c r="H102" s="86"/>
      <c r="I102" s="86">
        <f>I31+I43+I55+I101</f>
        <v>0</v>
      </c>
      <c r="J102" s="308"/>
      <c r="K102" s="306"/>
      <c r="L102" s="306"/>
      <c r="M102" s="306"/>
      <c r="N102" s="306"/>
      <c r="O102" s="306"/>
      <c r="P102" s="306"/>
    </row>
    <row r="103" spans="1:16" ht="15.75" thickBot="1" x14ac:dyDescent="0.3">
      <c r="A103" s="88"/>
      <c r="B103" s="89"/>
      <c r="C103" s="90" t="s">
        <v>86</v>
      </c>
      <c r="D103" s="6"/>
      <c r="E103" s="6"/>
      <c r="F103" s="91"/>
      <c r="G103" s="91"/>
      <c r="H103" s="91"/>
      <c r="I103" s="27">
        <f>I102/1.2*20%</f>
        <v>0</v>
      </c>
    </row>
    <row r="104" spans="1:16" s="34" customFormat="1" ht="15.75" x14ac:dyDescent="0.25">
      <c r="A104" s="92"/>
      <c r="B104" s="93"/>
      <c r="F104" s="105"/>
      <c r="G104" s="105"/>
      <c r="H104" s="32">
        <f>H30+H42+H54+H100</f>
        <v>0</v>
      </c>
      <c r="I104" s="32">
        <f>I30+I42+I54+I100</f>
        <v>0</v>
      </c>
      <c r="K104" s="305"/>
      <c r="L104" s="305"/>
      <c r="M104" s="305"/>
      <c r="N104" s="305"/>
      <c r="O104" s="305"/>
      <c r="P104" s="305"/>
    </row>
    <row r="106" spans="1:16" x14ac:dyDescent="0.25">
      <c r="E106" s="2"/>
    </row>
  </sheetData>
  <mergeCells count="21">
    <mergeCell ref="A12:B12"/>
    <mergeCell ref="C12:I12"/>
    <mergeCell ref="G1:I1"/>
    <mergeCell ref="F2:I2"/>
    <mergeCell ref="C5:H5"/>
    <mergeCell ref="C6:H6"/>
    <mergeCell ref="A9:I10"/>
    <mergeCell ref="A2:C2"/>
    <mergeCell ref="C55:E55"/>
    <mergeCell ref="C56:F56"/>
    <mergeCell ref="F14:G14"/>
    <mergeCell ref="H14:I14"/>
    <mergeCell ref="O25:P25"/>
    <mergeCell ref="A32:I32"/>
    <mergeCell ref="A44:I44"/>
    <mergeCell ref="C54:E54"/>
    <mergeCell ref="A14:A15"/>
    <mergeCell ref="B14:B15"/>
    <mergeCell ref="C14:C15"/>
    <mergeCell ref="D14:D15"/>
    <mergeCell ref="E14:E15"/>
  </mergeCells>
  <phoneticPr fontId="22" type="noConversion"/>
  <pageMargins left="0.70866141732283472" right="0.19685039370078741" top="0.59055118110236227" bottom="0.74803149606299213" header="0" footer="0.31496062992125984"/>
  <pageSetup paperSize="9" scale="67" orientation="portrait" r:id="rId1"/>
  <headerFooter>
    <oddFooter>&amp;LГенподрядчик_____________&amp;C&amp;P&amp;RСубподрядчик_____________</oddFooter>
  </headerFooter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НЛК К22</vt:lpstr>
      <vt:lpstr>НЛК 20</vt:lpstr>
      <vt:lpstr>НЛК К23</vt:lpstr>
      <vt:lpstr>НЛК 19</vt:lpstr>
      <vt:lpstr>'НЛК К22'!Заголовки_для_печати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Сергиенко Елена Анатольевна</cp:lastModifiedBy>
  <dcterms:created xsi:type="dcterms:W3CDTF">2024-07-16T08:45:39Z</dcterms:created>
  <dcterms:modified xsi:type="dcterms:W3CDTF">2024-09-10T09:26:03Z</dcterms:modified>
</cp:coreProperties>
</file>