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enkoea\AppData\Local\Microsoft\Windows\INetCache\Content.Outlook\5GXJSH9F\"/>
    </mc:Choice>
  </mc:AlternateContent>
  <xr:revisionPtr revIDLastSave="0" documentId="13_ncr:1_{31D87815-ED1D-47AD-AD7B-8724A0FA4103}" xr6:coauthVersionLast="45" xr6:coauthVersionMax="45" xr10:uidLastSave="{00000000-0000-0000-0000-000000000000}"/>
  <bookViews>
    <workbookView xWindow="-120" yWindow="-120" windowWidth="29040" windowHeight="15990" xr2:uid="{113A3BF6-BDF8-4383-98E9-2E85BC0D462B}"/>
  </bookViews>
  <sheets>
    <sheet name="форма КП" sheetId="1" r:id="rId1"/>
  </sheets>
  <definedNames>
    <definedName name="_xlnm.Print_Titles" localSheetId="0">'форма КП'!$12:$12</definedName>
    <definedName name="_xlnm.Print_Area" localSheetId="0">'форма КП'!$A$1:$Q$136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7" i="1" l="1"/>
  <c r="Q128" i="1"/>
  <c r="Q126" i="1"/>
  <c r="P122" i="1"/>
  <c r="P123" i="1"/>
  <c r="P124" i="1"/>
  <c r="P125" i="1"/>
  <c r="P121" i="1"/>
  <c r="Q120" i="1"/>
  <c r="P115" i="1"/>
  <c r="P116" i="1"/>
  <c r="P117" i="1"/>
  <c r="P118" i="1"/>
  <c r="P119" i="1"/>
  <c r="P114" i="1"/>
  <c r="Q113" i="1"/>
  <c r="P111" i="1"/>
  <c r="P112" i="1"/>
  <c r="Q110" i="1"/>
  <c r="P109" i="1"/>
  <c r="P108" i="1"/>
  <c r="Q107" i="1"/>
  <c r="P104" i="1"/>
  <c r="P105" i="1"/>
  <c r="P106" i="1"/>
  <c r="P103" i="1"/>
  <c r="Q102" i="1"/>
  <c r="P101" i="1"/>
  <c r="P100" i="1"/>
  <c r="Q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99" i="1"/>
  <c r="H120" i="1"/>
  <c r="F120" i="1"/>
  <c r="F106" i="1"/>
  <c r="F105" i="1"/>
  <c r="F109" i="1"/>
  <c r="F108" i="1"/>
  <c r="F107" i="1"/>
  <c r="P83" i="1"/>
  <c r="P84" i="1"/>
  <c r="P85" i="1"/>
  <c r="P86" i="1"/>
  <c r="P87" i="1"/>
  <c r="P88" i="1"/>
  <c r="P89" i="1"/>
  <c r="P90" i="1"/>
  <c r="P91" i="1"/>
  <c r="P92" i="1"/>
  <c r="P93" i="1"/>
  <c r="P94" i="1"/>
  <c r="P82" i="1"/>
  <c r="Q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81" i="1"/>
  <c r="F87" i="1"/>
  <c r="F86" i="1"/>
  <c r="F85" i="1"/>
  <c r="F84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65" i="1"/>
  <c r="Q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64" i="1"/>
  <c r="J71" i="1"/>
  <c r="J70" i="1"/>
  <c r="J69" i="1"/>
  <c r="I70" i="1"/>
  <c r="I67" i="1"/>
  <c r="I66" i="1"/>
  <c r="P97" i="1"/>
  <c r="P98" i="1"/>
  <c r="P96" i="1"/>
  <c r="E98" i="1"/>
  <c r="E97" i="1"/>
  <c r="E96" i="1"/>
  <c r="E95" i="1"/>
  <c r="Q95" i="1"/>
  <c r="J25" i="1"/>
  <c r="I25" i="1"/>
  <c r="E25" i="1"/>
  <c r="F80" i="1" l="1"/>
  <c r="F71" i="1"/>
  <c r="F70" i="1"/>
  <c r="F69" i="1"/>
  <c r="F68" i="1"/>
  <c r="F65" i="1"/>
  <c r="M63" i="1"/>
  <c r="L63" i="1"/>
  <c r="K63" i="1"/>
  <c r="J62" i="1"/>
  <c r="J63" i="1" s="1"/>
  <c r="I62" i="1"/>
  <c r="I63" i="1" s="1"/>
  <c r="G63" i="1"/>
  <c r="F62" i="1"/>
  <c r="F63" i="1" s="1"/>
  <c r="E63" i="1" s="1"/>
  <c r="P63" i="1" s="1"/>
  <c r="P57" i="1"/>
  <c r="E58" i="1"/>
  <c r="Q58" i="1" s="1"/>
  <c r="E57" i="1"/>
  <c r="E56" i="1"/>
  <c r="Q56" i="1" s="1"/>
  <c r="E55" i="1"/>
  <c r="Q55" i="1" s="1"/>
  <c r="E45" i="1"/>
  <c r="Q45" i="1" s="1"/>
  <c r="L50" i="1"/>
  <c r="L46" i="1"/>
  <c r="E47" i="1"/>
  <c r="Q47" i="1" s="1"/>
  <c r="I53" i="1"/>
  <c r="I48" i="1"/>
  <c r="G53" i="1"/>
  <c r="F52" i="1"/>
  <c r="F53" i="1" s="1"/>
  <c r="F51" i="1"/>
  <c r="E51" i="1" s="1"/>
  <c r="P51" i="1" s="1"/>
  <c r="F50" i="1"/>
  <c r="E50" i="1" s="1"/>
  <c r="P50" i="1" s="1"/>
  <c r="F49" i="1"/>
  <c r="E49" i="1" s="1"/>
  <c r="Q49" i="1" s="1"/>
  <c r="E46" i="1"/>
  <c r="P46" i="1" s="1"/>
  <c r="E35" i="1"/>
  <c r="P35" i="1" s="1"/>
  <c r="E34" i="1"/>
  <c r="P34" i="1" s="1"/>
  <c r="E33" i="1"/>
  <c r="Q33" i="1" s="1"/>
  <c r="E30" i="1"/>
  <c r="Q30" i="1" s="1"/>
  <c r="M31" i="1"/>
  <c r="L37" i="1"/>
  <c r="K37" i="1"/>
  <c r="J38" i="1"/>
  <c r="E38" i="1" s="1"/>
  <c r="P38" i="1" s="1"/>
  <c r="J36" i="1"/>
  <c r="J37" i="1" s="1"/>
  <c r="I37" i="1"/>
  <c r="G40" i="1"/>
  <c r="F38" i="1"/>
  <c r="F37" i="1"/>
  <c r="E37" i="1" s="1"/>
  <c r="P37" i="1" s="1"/>
  <c r="F36" i="1"/>
  <c r="E36" i="1" s="1"/>
  <c r="Q36" i="1" s="1"/>
  <c r="E26" i="1"/>
  <c r="Q26" i="1" s="1"/>
  <c r="M24" i="1"/>
  <c r="E24" i="1" s="1"/>
  <c r="P24" i="1" s="1"/>
  <c r="M22" i="1"/>
  <c r="L22" i="1"/>
  <c r="K22" i="1"/>
  <c r="J26" i="1"/>
  <c r="J23" i="1"/>
  <c r="J22" i="1"/>
  <c r="J21" i="1"/>
  <c r="I26" i="1"/>
  <c r="I23" i="1"/>
  <c r="I22" i="1"/>
  <c r="G22" i="1"/>
  <c r="F26" i="1"/>
  <c r="F23" i="1"/>
  <c r="E23" i="1" s="1"/>
  <c r="Q23" i="1" s="1"/>
  <c r="F22" i="1"/>
  <c r="E22" i="1" s="1"/>
  <c r="P22" i="1" s="1"/>
  <c r="F21" i="1"/>
  <c r="E21" i="1" s="1"/>
  <c r="Q21" i="1" s="1"/>
  <c r="H121" i="1"/>
  <c r="H112" i="1"/>
  <c r="H111" i="1"/>
  <c r="H110" i="1"/>
  <c r="H109" i="1"/>
  <c r="H108" i="1"/>
  <c r="H107" i="1"/>
  <c r="H94" i="1"/>
  <c r="H87" i="1"/>
  <c r="H86" i="1"/>
  <c r="H85" i="1"/>
  <c r="H83" i="1"/>
  <c r="H80" i="1"/>
  <c r="H74" i="1"/>
  <c r="H71" i="1"/>
  <c r="H70" i="1"/>
  <c r="H68" i="1"/>
  <c r="H66" i="1"/>
  <c r="H65" i="1"/>
  <c r="H62" i="1"/>
  <c r="H63" i="1" s="1"/>
  <c r="H54" i="1"/>
  <c r="E54" i="1" s="1"/>
  <c r="P54" i="1" s="1"/>
  <c r="H52" i="1"/>
  <c r="H48" i="1"/>
  <c r="H41" i="1"/>
  <c r="E41" i="1" s="1"/>
  <c r="P41" i="1" s="1"/>
  <c r="H39" i="1"/>
  <c r="E39" i="1" s="1"/>
  <c r="H37" i="1"/>
  <c r="H34" i="1"/>
  <c r="H32" i="1"/>
  <c r="E32" i="1" s="1"/>
  <c r="P32" i="1" s="1"/>
  <c r="H31" i="1"/>
  <c r="H30" i="1"/>
  <c r="H127" i="1" s="1"/>
  <c r="H26" i="1"/>
  <c r="H23" i="1"/>
  <c r="H21" i="1"/>
  <c r="H22" i="1" s="1"/>
  <c r="H19" i="1"/>
  <c r="H20" i="1" s="1"/>
  <c r="H17" i="1"/>
  <c r="H16" i="1"/>
  <c r="E16" i="1" s="1"/>
  <c r="H15" i="1"/>
  <c r="H18" i="1" s="1"/>
  <c r="E40" i="1" l="1"/>
  <c r="P40" i="1" s="1"/>
  <c r="Q39" i="1"/>
  <c r="E17" i="1"/>
  <c r="Q17" i="1" s="1"/>
  <c r="Q16" i="1"/>
  <c r="E53" i="1"/>
  <c r="P53" i="1" s="1"/>
  <c r="E52" i="1"/>
  <c r="Q52" i="1" s="1"/>
  <c r="Q59" i="1" s="1"/>
  <c r="E19" i="1"/>
  <c r="E31" i="1"/>
  <c r="P31" i="1" s="1"/>
  <c r="E48" i="1"/>
  <c r="P48" i="1" s="1"/>
  <c r="P59" i="1" s="1"/>
  <c r="E15" i="1"/>
  <c r="E62" i="1"/>
  <c r="Q62" i="1" s="1"/>
  <c r="Q42" i="1"/>
  <c r="P42" i="1"/>
  <c r="H126" i="1"/>
  <c r="H40" i="1"/>
  <c r="H53" i="1"/>
  <c r="P129" i="1"/>
  <c r="Q60" i="1" l="1"/>
  <c r="E18" i="1"/>
  <c r="Q18" i="1" s="1"/>
  <c r="Q15" i="1"/>
  <c r="Q19" i="1"/>
  <c r="E20" i="1"/>
  <c r="P20" i="1" s="1"/>
  <c r="P27" i="1" s="1"/>
  <c r="P131" i="1" s="1"/>
  <c r="Q43" i="1"/>
  <c r="H128" i="1"/>
  <c r="Q27" i="1" l="1"/>
  <c r="Q28" i="1" s="1"/>
  <c r="Q129" i="1"/>
  <c r="Q130" i="1" s="1"/>
  <c r="Q131" i="1" l="1"/>
  <c r="Q132" i="1"/>
  <c r="Q133" i="1" s="1"/>
</calcChain>
</file>

<file path=xl/sharedStrings.xml><?xml version="1.0" encoding="utf-8"?>
<sst xmlns="http://schemas.openxmlformats.org/spreadsheetml/2006/main" count="463" uniqueCount="186">
  <si>
    <t>НАИМЕНОВАНИЕ ОРГАНИЗАЦИИ</t>
  </si>
  <si>
    <t>Строительство наружной сети хозяйственно-бытовой канализации.</t>
  </si>
  <si>
    <t>Чертежи:14/П-14-V-НВК</t>
  </si>
  <si>
    <t>№</t>
  </si>
  <si>
    <t>Обоснование</t>
  </si>
  <si>
    <t>Наименование работ, затрат</t>
  </si>
  <si>
    <t>Ед. изм.</t>
  </si>
  <si>
    <t>Цена за ед.изм., руб.</t>
  </si>
  <si>
    <t>Общая стоимость, руб.</t>
  </si>
  <si>
    <t>затрат</t>
  </si>
  <si>
    <t>материалы</t>
  </si>
  <si>
    <t>работа</t>
  </si>
  <si>
    <t>6</t>
  </si>
  <si>
    <t>7</t>
  </si>
  <si>
    <t>8</t>
  </si>
  <si>
    <t>9</t>
  </si>
  <si>
    <t>Раздел №1</t>
  </si>
  <si>
    <t>Земляные работы при прокладке бытовой канализации в границах стройплощадки</t>
  </si>
  <si>
    <t>Договорная цена</t>
  </si>
  <si>
    <t>Разработка грунта в траншеях экскаватором "обратная лопата" с ковшом вместимостью 0,65 (0,5-1) м3, с погрузкой в автомобили-самосвалы группа грунтов: 2</t>
  </si>
  <si>
    <r>
      <t>м</t>
    </r>
    <r>
      <rPr>
        <b/>
        <vertAlign val="superscript"/>
        <sz val="10"/>
        <color indexed="8"/>
        <rFont val="Times New Roman"/>
        <family val="1"/>
        <charset val="204"/>
      </rPr>
      <t>3</t>
    </r>
  </si>
  <si>
    <t>2</t>
  </si>
  <si>
    <t>Разработка грунта вручную в траншеях глубиной до 2 м без креплений с откосами, группа грунтов: 2</t>
  </si>
  <si>
    <t>3</t>
  </si>
  <si>
    <t>Погрузка грунта</t>
  </si>
  <si>
    <t>м3</t>
  </si>
  <si>
    <t>4</t>
  </si>
  <si>
    <t>Перевозка грунта на расстояние до 1 км</t>
  </si>
  <si>
    <t>т</t>
  </si>
  <si>
    <t>5</t>
  </si>
  <si>
    <t>Устройство основания: песчаного с уплотнением</t>
  </si>
  <si>
    <t>5.1</t>
  </si>
  <si>
    <t>цена поставки</t>
  </si>
  <si>
    <t>Песок для строительных работ природный, карьерный (с учетом доставки поставщиком)</t>
  </si>
  <si>
    <t>Засыпка  траншей, пазух котлованов и ям, группа грунтов: 1 с уплотнением</t>
  </si>
  <si>
    <t>6.1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</si>
  <si>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</si>
  <si>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t xml:space="preserve">Засыпка траншей и котлованов с перемещением грунта до 5 м бульдозерами мощностью: 79 (108) кВт (л.с.),1 группа грунтов </t>
  </si>
  <si>
    <t>7.1</t>
  </si>
  <si>
    <t>Уплотнение грунта пневматическими трамбовками, группа грунтов: 1, 2</t>
  </si>
  <si>
    <t>Итого:</t>
  </si>
  <si>
    <t>Итого по разделу:</t>
  </si>
  <si>
    <t>Раздел №2</t>
  </si>
  <si>
    <t>Прокладка трубопроводов бытовой канализации</t>
  </si>
  <si>
    <t>1</t>
  </si>
  <si>
    <t>Укладка трубопроводов из двухслойных гофрированных полиэтиленовых труб диаметром: до 300 мм</t>
  </si>
  <si>
    <t>м</t>
  </si>
  <si>
    <t>1.1</t>
  </si>
  <si>
    <t>Трубопровод из труб двухслойных гофрированных безнапорных ПЭ КОРСИС DN/OD 315 SN8</t>
  </si>
  <si>
    <t>1.2</t>
  </si>
  <si>
    <t>Муфта защитная для прохода труб 315 мм сквозь бетонные кольца</t>
  </si>
  <si>
    <t>шт</t>
  </si>
  <si>
    <t>Укладка трубопроводов из напорных полиэтиленовых труб диаметром: 300 мм</t>
  </si>
  <si>
    <t>2.1</t>
  </si>
  <si>
    <t>Трубопровод из труб напорных из полиэтилена ПЭ 100 SDR 17 – Ø315 х 18,7 технических</t>
  </si>
  <si>
    <t>2.2</t>
  </si>
  <si>
    <t>Муфта для прохода стены колодца трубой
ПЭ100 SDR 17 – Ø315 х 18,7 с эластичными манжетами</t>
  </si>
  <si>
    <t>Укладка трубопроводов из двухслойных гофрированных полиэтиленовых труб диаметром: до 250 мм</t>
  </si>
  <si>
    <t>3.1</t>
  </si>
  <si>
    <t>Трубопровод из труб двухслойных гофрированных безнапорных ПЭ КОРСИС DN/OD 250 SN8</t>
  </si>
  <si>
    <t>3.2</t>
  </si>
  <si>
    <t>Муфта защитная для прохода труб 250 мм сквозь бетонные кольца</t>
  </si>
  <si>
    <t>Укладка трубопроводов из двухслойных гофрированных полиэтиленовых труб диаметром: до 200 мм</t>
  </si>
  <si>
    <t>4.1</t>
  </si>
  <si>
    <t>Трубопровод из труб двухслойных гофрированных безнапорных ПЭ КОРСИС DN/OD 200 SN8</t>
  </si>
  <si>
    <t>4.2</t>
  </si>
  <si>
    <t>Муфта защитная для прохода труб 200 мм сквозь бетонные кольца</t>
  </si>
  <si>
    <t>Раздел №3</t>
  </si>
  <si>
    <t>Выпуски бытовой канализации</t>
  </si>
  <si>
    <t>Укладка трубопровода из полиэтиленовых труб диаметром до 400 мм</t>
  </si>
  <si>
    <t>Труба из напорного полиэтилена ПЭ 100 SDR 13.6 – Ø355 х 26,1 техническая (футляр)</t>
  </si>
  <si>
    <t>Прокладка в траншеях трубопроводов из канализационных труб НПВХ диаметром: 100 мм</t>
  </si>
  <si>
    <t>Трубопровод из труб наружных канализационных НПВХ 110х3,2 SN8</t>
  </si>
  <si>
    <t xml:space="preserve">Муфта для прохода стены колодца трубой НПВХ ∅110 </t>
  </si>
  <si>
    <t>Пробивка отверстий в ж/б стенах h=250 мм, 400*400 под выпуски</t>
  </si>
  <si>
    <t>Установка сальников</t>
  </si>
  <si>
    <t>Сальник под выпуск (набивной по серии 5.900-2) 250 мм, 18,8 кг</t>
  </si>
  <si>
    <t>Набивка сальников</t>
  </si>
  <si>
    <t>Раздел №4</t>
  </si>
  <si>
    <t>Колодцы бытовой канализации</t>
  </si>
  <si>
    <t>Устройство основания: щебеночного 0,2м под ж/б колодец</t>
  </si>
  <si>
    <t>Щебень из природного камня для строительных работ марка 400, фракция 40-70 мм</t>
  </si>
  <si>
    <t>Устройство круглых сборных железобетонных канализационных колодцев диаметром: 1 м в грунтах мокрых</t>
  </si>
  <si>
    <t>Плита днища с внутренним полиэтиленовым чехлом ПНЧ10, объем 0,18 м3</t>
  </si>
  <si>
    <t>Кольцо с дном с внутренним полиэтленовым чехлом ДК10.9-фут, объем 0,36 м3</t>
  </si>
  <si>
    <t>2.3</t>
  </si>
  <si>
    <t>Кольцо стеновое с фальцевыми стыковыми поверхностями с внутренним полиэтиленовым чехлом КСФЧ10.6, объем 0,16 м3</t>
  </si>
  <si>
    <t>2.4</t>
  </si>
  <si>
    <t>Кольцо стеновое с фальцевыми стыковыми поверхностями с внутренним полиэтиленовым чехлом КСФЧ10.9, объем 0,24 м3</t>
  </si>
  <si>
    <t>2.5</t>
  </si>
  <si>
    <t>Плита перекрытия с внутренним полиэтиленовым чехлом 1ППЧ10-2, объем 0,10 м3</t>
  </si>
  <si>
    <t>2.6</t>
  </si>
  <si>
    <t>Кольцо стеновое с фальцевыми стыковыми поверхностями с внутренним полиэтиленовым чехлом КСФЧ7.3, объем 0,05 м3</t>
  </si>
  <si>
    <t>2.7</t>
  </si>
  <si>
    <t>Стремянка С1-02</t>
  </si>
  <si>
    <t>2.8</t>
  </si>
  <si>
    <t>Стремянка С1-03</t>
  </si>
  <si>
    <t>2.9</t>
  </si>
  <si>
    <t>Стремянка С1-07</t>
  </si>
  <si>
    <t>2.10</t>
  </si>
  <si>
    <t>Скобы ходовые</t>
  </si>
  <si>
    <t>Устройство круглых сборных железобетонных канализационных колодцев диаметром: 1,5 м в грунтах мокрых</t>
  </si>
  <si>
    <t>Плита днища с внутренним полиэтиленовым чехлом ПНЧ15, объем 0,38 м3</t>
  </si>
  <si>
    <t>Кольцо с дном с внутренним полиэтленовым чехлом ДК15.9-фут, объем 0,58 м3</t>
  </si>
  <si>
    <t>3.3</t>
  </si>
  <si>
    <t>Кольцо стеновое с фальцевыми стыковыми поверхностями с внутренним полиэтиленовым чехлом КСФЧ15.6, объем 0,265 м3</t>
  </si>
  <si>
    <t>3.4</t>
  </si>
  <si>
    <t>Кольцо стеновое с фальцевыми стыковыми поверхностями с внутренним полиэтиленовым чехлом КСФЧ15.9, объем 0,40 м3</t>
  </si>
  <si>
    <t>3.5</t>
  </si>
  <si>
    <t>Плита перекрытия с внутренним полиэтиленовым чехлом 1ППЧ15-2 объем 0,27 м3</t>
  </si>
  <si>
    <t>3.6</t>
  </si>
  <si>
    <t>3.7</t>
  </si>
  <si>
    <t>Стремянка С1-06</t>
  </si>
  <si>
    <t>3.8</t>
  </si>
  <si>
    <t>3.9</t>
  </si>
  <si>
    <t>Стремянка С1-08</t>
  </si>
  <si>
    <t>3.10</t>
  </si>
  <si>
    <t>Стремянка С1-09</t>
  </si>
  <si>
    <t>3.11</t>
  </si>
  <si>
    <t>Прокладка трубопроводов из двухслойных гофрированных полиэтиленовых труб диаметром: до 100 мм</t>
  </si>
  <si>
    <t>Трубопровод из труб двухслойных гофрированных безнапорных ПЭ КОРСИС ПРО DN/OD 110</t>
  </si>
  <si>
    <t>Хомуты крепления</t>
  </si>
  <si>
    <t>Установка полиэтиленовых фасонных частей: отводов, колен, патрубков, переходов</t>
  </si>
  <si>
    <t>Переход эксцентрический ПЭ КОРСИС ПРО SN16 DN/OD 200х110</t>
  </si>
  <si>
    <t>5.2</t>
  </si>
  <si>
    <t>Отвод ПЭ КОРСИС ПРО SN16 DN/OD 110</t>
  </si>
  <si>
    <t>Прокладка трубопроводов из двухслойных гофрированных полиэтиленовых труб диаметром: до 200 мм</t>
  </si>
  <si>
    <t>Трубопровод из труб двухслойных гофрированных безнапорных ПЭ КОРСИС ПРО DN/OD 200</t>
  </si>
  <si>
    <t>6.2</t>
  </si>
  <si>
    <t>Переход эксцентрический ПЭ КОРСИС ПРО SN16 DN/OD 250х200</t>
  </si>
  <si>
    <t>7.2</t>
  </si>
  <si>
    <t>Отвод ПЭ КОРСИС ПРО SN16 90º DN/OD 200</t>
  </si>
  <si>
    <t>Устройство круглых дождеприемных колодцев для дождевой канализации из сборного железобетона диаметром 1,0 м: в грунтах мокрых</t>
  </si>
  <si>
    <t>8.1</t>
  </si>
  <si>
    <t>8.2</t>
  </si>
  <si>
    <t>8.3</t>
  </si>
  <si>
    <t>8.4</t>
  </si>
  <si>
    <t>8.5</t>
  </si>
  <si>
    <t>Стремянка С1-00</t>
  </si>
  <si>
    <t>8.6</t>
  </si>
  <si>
    <t xml:space="preserve">Скоба ходовая </t>
  </si>
  <si>
    <t xml:space="preserve">Установка люков </t>
  </si>
  <si>
    <t>Кольцо опорное КО-6, объем 0,02 м3</t>
  </si>
  <si>
    <t>Люк чугунный тяжелый тип Т (С250)-К.2-60</t>
  </si>
  <si>
    <t>Люк средний С (В125)</t>
  </si>
  <si>
    <t>Люк чугунный легкий тип Л (А150)-К.2-62</t>
  </si>
  <si>
    <t>Промывка  трубопроводов диаметром: до 200 мм</t>
  </si>
  <si>
    <t>10</t>
  </si>
  <si>
    <t>Промывка  трубопроводов диаметром: 300 мм</t>
  </si>
  <si>
    <t>11</t>
  </si>
  <si>
    <t xml:space="preserve">Телевизионное инспекционное обследование трубопровода </t>
  </si>
  <si>
    <t>Итого материалы и работа по коммерческому предложению:</t>
  </si>
  <si>
    <t>Всего по коммерческому предложению:</t>
  </si>
  <si>
    <t>в том числе НДС</t>
  </si>
  <si>
    <t>Подпись и печать руководителя организации</t>
  </si>
  <si>
    <t>Кол-во всего</t>
  </si>
  <si>
    <t>корпус</t>
  </si>
  <si>
    <t>за стр пл</t>
  </si>
  <si>
    <t>Укладка трубопровода из полиэтиленовых труб диаметром до 500 мм</t>
  </si>
  <si>
    <t>Труба из напорного полиэтилена ПЭ 100 SDR 13.6 – Ø450 х 33,1 техническая (футляр)</t>
  </si>
  <si>
    <t>Прокладка в траншеях трубопроводов из канализационных труб НПВХ диаметром: 200 мм</t>
  </si>
  <si>
    <t>Трубопровод из труб наружных канализационных НПВХ 160х4,7 SN8</t>
  </si>
  <si>
    <t>Муфта для прохода стены колодца трубой НПВХ ∅160</t>
  </si>
  <si>
    <t xml:space="preserve">Объект:«Многоэтажные жилые дома» по адресу: Ленинградская область,Всеволожский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								</t>
  </si>
  <si>
    <t>Стремянка С1-04</t>
  </si>
  <si>
    <t>2.11</t>
  </si>
  <si>
    <t>2.12</t>
  </si>
  <si>
    <t>Местный грунт</t>
  </si>
  <si>
    <t>Установка задвижек или клапанов стальных для трубопроводов</t>
  </si>
  <si>
    <t>Задвижка с обрезиненным клином невыдвижным шпинделем фланцевая чугунная d250 мм PN 1,6 Мпа</t>
  </si>
  <si>
    <t>Фланец стальной свободный PN=1,0 Мпа d250</t>
  </si>
  <si>
    <t>Втулка ПЭ100 SDR 17 90º - d315х18,7 под фланец</t>
  </si>
  <si>
    <t>4.3</t>
  </si>
  <si>
    <t>Кольцо стеновое с фальцевыми стыковыми поверхностями с внутренним полиэтиленовым чехлом КСФЧ10.3, объем 0,08 м3</t>
  </si>
  <si>
    <t>Стремянка С1-05</t>
  </si>
  <si>
    <t>Стремянка С1-01</t>
  </si>
  <si>
    <t>2.13</t>
  </si>
  <si>
    <t>2.14</t>
  </si>
  <si>
    <t>2.15</t>
  </si>
  <si>
    <t>2.16</t>
  </si>
  <si>
    <t xml:space="preserve">Стремянка С1-05 </t>
  </si>
  <si>
    <t>Переход эксцентрический ПЭ КОРСИС ПРО SN16 DN/OD 200х160</t>
  </si>
  <si>
    <t>Отвод ПЭ КОРСИС ПРО SN16 DN/OD 160</t>
  </si>
  <si>
    <t>Люк дождеприемный С250 круглый тип "ДБ2"</t>
  </si>
  <si>
    <t>КОММЕРЧЕСКОЕ ПРЕДЛОЖЕНИЕ № 1</t>
  </si>
  <si>
    <t>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</si>
</sst>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4" fontId="2" fillId="0" borderId="30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12" fillId="0" borderId="0" xfId="0" applyFont="1"/>
    <xf numFmtId="4" fontId="2" fillId="0" borderId="29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0" fontId="7" fillId="0" borderId="24" xfId="0" applyFont="1" applyBorder="1" applyAlignment="1">
      <alignment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4" fontId="7" fillId="0" borderId="44" xfId="0" applyNumberFormat="1" applyFont="1" applyBorder="1" applyAlignment="1">
      <alignment horizontal="center" vertical="center" wrapText="1"/>
    </xf>
    <xf numFmtId="4" fontId="2" fillId="0" borderId="44" xfId="0" applyNumberFormat="1" applyFont="1" applyBorder="1" applyAlignment="1">
      <alignment horizontal="center" vertical="center" wrapText="1"/>
    </xf>
    <xf numFmtId="4" fontId="5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3" fontId="2" fillId="0" borderId="44" xfId="0" applyNumberFormat="1" applyFont="1" applyBorder="1" applyAlignment="1">
      <alignment horizontal="center" vertical="center" wrapText="1"/>
    </xf>
    <xf numFmtId="3" fontId="7" fillId="0" borderId="44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4" fontId="7" fillId="0" borderId="46" xfId="0" applyNumberFormat="1" applyFont="1" applyBorder="1" applyAlignment="1">
      <alignment horizontal="center" vertical="center" wrapText="1"/>
    </xf>
    <xf numFmtId="4" fontId="7" fillId="0" borderId="47" xfId="0" applyNumberFormat="1" applyFont="1" applyBorder="1" applyAlignment="1">
      <alignment horizontal="center" vertical="center" wrapText="1"/>
    </xf>
    <xf numFmtId="4" fontId="2" fillId="0" borderId="47" xfId="0" applyNumberFormat="1" applyFont="1" applyBorder="1" applyAlignment="1">
      <alignment horizontal="center" vertical="center" wrapText="1"/>
    </xf>
    <xf numFmtId="4" fontId="7" fillId="0" borderId="48" xfId="0" applyNumberFormat="1" applyFont="1" applyBorder="1" applyAlignment="1">
      <alignment horizontal="center" vertical="center" wrapText="1"/>
    </xf>
    <xf numFmtId="4" fontId="5" fillId="0" borderId="46" xfId="0" applyNumberFormat="1" applyFont="1" applyBorder="1" applyAlignment="1">
      <alignment horizontal="center" vertical="center" wrapText="1"/>
    </xf>
    <xf numFmtId="4" fontId="5" fillId="0" borderId="49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4" fontId="7" fillId="0" borderId="50" xfId="0" applyNumberFormat="1" applyFont="1" applyBorder="1" applyAlignment="1">
      <alignment horizontal="center" vertical="center" wrapText="1"/>
    </xf>
    <xf numFmtId="4" fontId="2" fillId="0" borderId="48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2" fillId="0" borderId="47" xfId="0" applyNumberFormat="1" applyFont="1" applyBorder="1" applyAlignment="1">
      <alignment horizontal="center" vertical="center" wrapText="1"/>
    </xf>
    <xf numFmtId="3" fontId="7" fillId="0" borderId="47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center" vertical="center" wrapText="1"/>
    </xf>
    <xf numFmtId="4" fontId="4" fillId="0" borderId="49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6" fillId="0" borderId="51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9" fontId="4" fillId="0" borderId="37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" fontId="5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 wrapText="1"/>
    </xf>
    <xf numFmtId="4" fontId="2" fillId="0" borderId="53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37" xfId="0" applyNumberFormat="1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vertical="center" wrapText="1"/>
    </xf>
    <xf numFmtId="4" fontId="7" fillId="0" borderId="52" xfId="0" applyNumberFormat="1" applyFont="1" applyBorder="1" applyAlignment="1">
      <alignment horizontal="center" vertical="center" wrapText="1"/>
    </xf>
    <xf numFmtId="4" fontId="7" fillId="0" borderId="53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7" fillId="0" borderId="54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6" xfId="0" applyNumberFormat="1" applyFont="1" applyBorder="1" applyAlignment="1">
      <alignment horizontal="center" vertical="center" wrapText="1"/>
    </xf>
    <xf numFmtId="4" fontId="5" fillId="0" borderId="57" xfId="0" applyNumberFormat="1" applyFont="1" applyBorder="1" applyAlignment="1">
      <alignment horizontal="center" vertical="center" wrapText="1"/>
    </xf>
    <xf numFmtId="4" fontId="2" fillId="0" borderId="58" xfId="0" applyNumberFormat="1" applyFont="1" applyBorder="1" applyAlignment="1">
      <alignment horizontal="center" vertical="center" wrapText="1"/>
    </xf>
    <xf numFmtId="4" fontId="2" fillId="0" borderId="56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" fontId="14" fillId="0" borderId="20" xfId="0" applyNumberFormat="1" applyFont="1" applyBorder="1" applyAlignment="1">
      <alignment horizontal="center" vertical="center" wrapText="1"/>
    </xf>
    <xf numFmtId="4" fontId="14" fillId="0" borderId="30" xfId="0" applyNumberFormat="1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" fontId="2" fillId="0" borderId="51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7" fillId="0" borderId="55" xfId="0" applyNumberFormat="1" applyFont="1" applyBorder="1" applyAlignment="1">
      <alignment horizontal="center" vertical="center" wrapText="1"/>
    </xf>
    <xf numFmtId="49" fontId="7" fillId="0" borderId="59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" fontId="2" fillId="0" borderId="54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7" fillId="0" borderId="54" xfId="0" applyNumberFormat="1" applyFont="1" applyFill="1" applyBorder="1" applyAlignment="1">
      <alignment horizontal="center" vertical="center" wrapText="1"/>
    </xf>
    <xf numFmtId="4" fontId="7" fillId="0" borderId="44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7" fillId="0" borderId="23" xfId="0" applyNumberFormat="1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4" fontId="5" fillId="0" borderId="56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7" fillId="0" borderId="55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7" fillId="0" borderId="44" xfId="0" applyNumberFormat="1" applyFont="1" applyFill="1" applyBorder="1" applyAlignment="1">
      <alignment horizontal="center" vertical="center" wrapText="1"/>
    </xf>
    <xf numFmtId="3" fontId="2" fillId="0" borderId="44" xfId="0" applyNumberFormat="1" applyFont="1" applyFill="1" applyBorder="1" applyAlignment="1">
      <alignment horizontal="center" vertical="center" wrapText="1"/>
    </xf>
    <xf numFmtId="3" fontId="4" fillId="0" borderId="58" xfId="0" applyNumberFormat="1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4" fontId="2" fillId="0" borderId="54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4" fontId="5" fillId="0" borderId="44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horizontal="center" vertical="center" wrapText="1"/>
    </xf>
    <xf numFmtId="4" fontId="7" fillId="0" borderId="42" xfId="0" applyNumberFormat="1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4" fontId="2" fillId="0" borderId="43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7" fillId="0" borderId="59" xfId="0" applyFont="1" applyBorder="1" applyAlignment="1">
      <alignment horizontal="center" vertical="center" wrapText="1"/>
    </xf>
    <xf numFmtId="4" fontId="7" fillId="0" borderId="59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D81F-74B9-4646-B131-A9917843D19A}">
  <sheetPr>
    <pageSetUpPr fitToPage="1"/>
  </sheetPr>
  <dimension ref="A1:U136"/>
  <sheetViews>
    <sheetView tabSelected="1" zoomScaleNormal="100" workbookViewId="0">
      <selection activeCell="P2" sqref="P2"/>
    </sheetView>
  </sheetViews>
  <sheetFormatPr defaultColWidth="9.140625" defaultRowHeight="12.75" outlineLevelCol="1" x14ac:dyDescent="0.25"/>
  <cols>
    <col min="1" max="1" width="6" style="1" customWidth="1"/>
    <col min="2" max="2" width="15.7109375" style="1" customWidth="1"/>
    <col min="3" max="3" width="63.28515625" style="1" customWidth="1"/>
    <col min="4" max="5" width="12.7109375" style="1" customWidth="1"/>
    <col min="6" max="7" width="12.7109375" style="1" hidden="1" customWidth="1" outlineLevel="1"/>
    <col min="8" max="8" width="10.140625" style="1" hidden="1" customWidth="1" outlineLevel="1"/>
    <col min="9" max="10" width="10.140625" style="274" hidden="1" customWidth="1" outlineLevel="1"/>
    <col min="11" max="13" width="10.140625" style="1" hidden="1" customWidth="1" outlineLevel="1"/>
    <col min="14" max="14" width="13.42578125" style="2" customWidth="1" collapsed="1"/>
    <col min="15" max="15" width="13.7109375" style="2" customWidth="1"/>
    <col min="16" max="16" width="11.42578125" style="2" customWidth="1"/>
    <col min="17" max="17" width="13.5703125" style="2" customWidth="1"/>
    <col min="18" max="16384" width="9.140625" style="2"/>
  </cols>
  <sheetData>
    <row r="1" spans="1:17" x14ac:dyDescent="0.25">
      <c r="P1" s="325" t="s">
        <v>185</v>
      </c>
      <c r="Q1" s="325"/>
    </row>
    <row r="2" spans="1:17" x14ac:dyDescent="0.25">
      <c r="C2" s="1" t="s">
        <v>0</v>
      </c>
    </row>
    <row r="4" spans="1:17" ht="14.25" x14ac:dyDescent="0.25">
      <c r="A4" s="328" t="s">
        <v>184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1:17" ht="14.25" x14ac:dyDescent="0.25">
      <c r="A5" s="328" t="s">
        <v>1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</row>
    <row r="6" spans="1:17" ht="14.25" x14ac:dyDescent="0.25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</row>
    <row r="7" spans="1:17" ht="14.25" x14ac:dyDescent="0.25">
      <c r="A7" s="3"/>
      <c r="B7" s="3"/>
      <c r="C7" s="3"/>
      <c r="D7" s="3"/>
      <c r="E7" s="3"/>
      <c r="F7" s="3"/>
      <c r="G7" s="3"/>
      <c r="H7" s="3"/>
      <c r="I7" s="275"/>
      <c r="J7" s="275"/>
      <c r="K7" s="3"/>
      <c r="L7" s="3"/>
      <c r="M7" s="3"/>
      <c r="N7" s="3"/>
      <c r="O7" s="3"/>
      <c r="P7" s="3"/>
      <c r="Q7" s="3"/>
    </row>
    <row r="8" spans="1:17" ht="46.5" customHeight="1" x14ac:dyDescent="0.25">
      <c r="A8" s="329" t="s">
        <v>163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</row>
    <row r="9" spans="1:17" ht="22.5" customHeight="1" thickBot="1" x14ac:dyDescent="0.3">
      <c r="A9" s="4"/>
      <c r="B9" s="4"/>
      <c r="C9" s="4" t="s">
        <v>2</v>
      </c>
      <c r="D9" s="4"/>
      <c r="E9" s="4"/>
      <c r="F9" s="4"/>
      <c r="G9" s="4"/>
      <c r="H9" s="4"/>
      <c r="I9" s="276"/>
      <c r="J9" s="276"/>
      <c r="K9" s="4"/>
      <c r="L9" s="4"/>
      <c r="M9" s="4"/>
    </row>
    <row r="10" spans="1:17" s="6" customFormat="1" ht="15" customHeight="1" thickBot="1" x14ac:dyDescent="0.3">
      <c r="A10" s="326" t="s">
        <v>3</v>
      </c>
      <c r="B10" s="5" t="s">
        <v>4</v>
      </c>
      <c r="C10" s="326" t="s">
        <v>5</v>
      </c>
      <c r="D10" s="326" t="s">
        <v>6</v>
      </c>
      <c r="E10" s="326" t="s">
        <v>155</v>
      </c>
      <c r="F10" s="99" t="s">
        <v>156</v>
      </c>
      <c r="G10" s="99" t="s">
        <v>156</v>
      </c>
      <c r="H10" s="5" t="s">
        <v>156</v>
      </c>
      <c r="I10" s="277" t="s">
        <v>156</v>
      </c>
      <c r="J10" s="277" t="s">
        <v>156</v>
      </c>
      <c r="K10" s="133" t="s">
        <v>156</v>
      </c>
      <c r="L10" s="133" t="s">
        <v>156</v>
      </c>
      <c r="M10" s="133" t="s">
        <v>156</v>
      </c>
      <c r="N10" s="331" t="s">
        <v>7</v>
      </c>
      <c r="O10" s="332"/>
      <c r="P10" s="333" t="s">
        <v>8</v>
      </c>
      <c r="Q10" s="332"/>
    </row>
    <row r="11" spans="1:17" ht="13.5" thickBot="1" x14ac:dyDescent="0.3">
      <c r="A11" s="330"/>
      <c r="B11" s="7" t="s">
        <v>9</v>
      </c>
      <c r="C11" s="330"/>
      <c r="D11" s="330"/>
      <c r="E11" s="327"/>
      <c r="F11" s="7">
        <v>18</v>
      </c>
      <c r="G11" s="7">
        <v>21</v>
      </c>
      <c r="H11" s="13">
        <v>19</v>
      </c>
      <c r="I11" s="278">
        <v>23</v>
      </c>
      <c r="J11" s="278">
        <v>20</v>
      </c>
      <c r="K11" s="13">
        <v>22</v>
      </c>
      <c r="L11" s="13">
        <v>17</v>
      </c>
      <c r="M11" s="13" t="s">
        <v>157</v>
      </c>
      <c r="N11" s="8" t="s">
        <v>10</v>
      </c>
      <c r="O11" s="9" t="s">
        <v>11</v>
      </c>
      <c r="P11" s="9" t="s">
        <v>10</v>
      </c>
      <c r="Q11" s="9" t="s">
        <v>11</v>
      </c>
    </row>
    <row r="12" spans="1:17" ht="13.5" thickBot="1" x14ac:dyDescent="0.3">
      <c r="A12" s="10">
        <v>1</v>
      </c>
      <c r="B12" s="11">
        <v>2</v>
      </c>
      <c r="C12" s="11">
        <v>3</v>
      </c>
      <c r="D12" s="12">
        <v>4</v>
      </c>
      <c r="E12" s="143">
        <v>5</v>
      </c>
      <c r="F12" s="143"/>
      <c r="G12" s="143"/>
      <c r="H12" s="132"/>
      <c r="I12" s="279"/>
      <c r="J12" s="279"/>
      <c r="K12" s="132"/>
      <c r="L12" s="132"/>
      <c r="M12" s="199"/>
      <c r="N12" s="14" t="s">
        <v>12</v>
      </c>
      <c r="O12" s="15" t="s">
        <v>13</v>
      </c>
      <c r="P12" s="15" t="s">
        <v>14</v>
      </c>
      <c r="Q12" s="15" t="s">
        <v>15</v>
      </c>
    </row>
    <row r="13" spans="1:17" ht="33.75" hidden="1" customHeight="1" thickBot="1" x14ac:dyDescent="0.3">
      <c r="A13" s="155"/>
      <c r="B13" s="156"/>
      <c r="C13" s="156"/>
      <c r="D13" s="156"/>
      <c r="E13" s="156"/>
      <c r="F13" s="181"/>
      <c r="G13" s="156"/>
      <c r="H13" s="181"/>
      <c r="I13" s="280"/>
      <c r="J13" s="280"/>
      <c r="K13" s="134"/>
      <c r="L13" s="134"/>
      <c r="M13" s="134"/>
      <c r="N13" s="202"/>
      <c r="O13" s="17"/>
      <c r="P13" s="16"/>
      <c r="Q13" s="17"/>
    </row>
    <row r="14" spans="1:17" ht="18.75" customHeight="1" thickBot="1" x14ac:dyDescent="0.3">
      <c r="A14" s="18"/>
      <c r="B14" s="19" t="s">
        <v>16</v>
      </c>
      <c r="C14" s="20" t="s">
        <v>17</v>
      </c>
      <c r="D14" s="21"/>
      <c r="E14" s="144"/>
      <c r="F14" s="182"/>
      <c r="G14" s="157"/>
      <c r="H14" s="21"/>
      <c r="I14" s="281"/>
      <c r="J14" s="281"/>
      <c r="K14" s="135"/>
      <c r="L14" s="135"/>
      <c r="M14" s="22"/>
      <c r="N14" s="23"/>
      <c r="O14" s="25"/>
      <c r="P14" s="24"/>
      <c r="Q14" s="25"/>
    </row>
    <row r="15" spans="1:17" ht="38.25" x14ac:dyDescent="0.25">
      <c r="A15" s="26">
        <v>1</v>
      </c>
      <c r="B15" s="27" t="s">
        <v>18</v>
      </c>
      <c r="C15" s="28" t="s">
        <v>19</v>
      </c>
      <c r="D15" s="29" t="s">
        <v>20</v>
      </c>
      <c r="E15" s="216">
        <f>SUM(F15:M15)</f>
        <v>6446.2300000000005</v>
      </c>
      <c r="F15" s="183">
        <v>1873.69</v>
      </c>
      <c r="G15" s="158">
        <v>668.56</v>
      </c>
      <c r="H15" s="163">
        <f>1298.93+401.79</f>
        <v>1700.72</v>
      </c>
      <c r="I15" s="282">
        <v>826.72</v>
      </c>
      <c r="J15" s="282">
        <v>325.93</v>
      </c>
      <c r="K15" s="214">
        <v>101.36</v>
      </c>
      <c r="L15" s="214">
        <v>556.74</v>
      </c>
      <c r="M15" s="170">
        <v>392.51</v>
      </c>
      <c r="N15" s="203"/>
      <c r="O15" s="31">
        <v>0</v>
      </c>
      <c r="P15" s="30"/>
      <c r="Q15" s="31">
        <f>E15*O15</f>
        <v>0</v>
      </c>
    </row>
    <row r="16" spans="1:17" ht="25.5" x14ac:dyDescent="0.25">
      <c r="A16" s="32" t="s">
        <v>21</v>
      </c>
      <c r="B16" s="33" t="s">
        <v>18</v>
      </c>
      <c r="C16" s="34" t="s">
        <v>22</v>
      </c>
      <c r="D16" s="35" t="s">
        <v>20</v>
      </c>
      <c r="E16" s="215">
        <f>SUM(F16:M16)</f>
        <v>199.36</v>
      </c>
      <c r="F16" s="184">
        <v>57.96</v>
      </c>
      <c r="G16" s="141">
        <v>20.67</v>
      </c>
      <c r="H16" s="164">
        <f>40.17+12.42</f>
        <v>52.59</v>
      </c>
      <c r="I16" s="283">
        <v>25.57</v>
      </c>
      <c r="J16" s="283">
        <v>10.08</v>
      </c>
      <c r="K16" s="146">
        <v>3.13</v>
      </c>
      <c r="L16" s="146">
        <v>17.22</v>
      </c>
      <c r="M16" s="164">
        <v>12.14</v>
      </c>
      <c r="N16" s="204"/>
      <c r="O16" s="38">
        <v>0</v>
      </c>
      <c r="P16" s="37"/>
      <c r="Q16" s="38">
        <f t="shared" ref="Q16:Q19" si="0">E16*O16</f>
        <v>0</v>
      </c>
    </row>
    <row r="17" spans="1:21" x14ac:dyDescent="0.25">
      <c r="A17" s="32" t="s">
        <v>23</v>
      </c>
      <c r="B17" s="33" t="s">
        <v>18</v>
      </c>
      <c r="C17" s="34" t="s">
        <v>24</v>
      </c>
      <c r="D17" s="35" t="s">
        <v>25</v>
      </c>
      <c r="E17" s="35">
        <f>E16</f>
        <v>199.36</v>
      </c>
      <c r="F17" s="184"/>
      <c r="G17" s="141"/>
      <c r="H17" s="164">
        <f>40.17+12.42</f>
        <v>52.59</v>
      </c>
      <c r="I17" s="283"/>
      <c r="J17" s="283"/>
      <c r="K17" s="146"/>
      <c r="L17" s="146"/>
      <c r="M17" s="164"/>
      <c r="N17" s="204"/>
      <c r="O17" s="38">
        <v>0</v>
      </c>
      <c r="P17" s="37"/>
      <c r="Q17" s="38">
        <f t="shared" si="0"/>
        <v>0</v>
      </c>
    </row>
    <row r="18" spans="1:21" x14ac:dyDescent="0.25">
      <c r="A18" s="32" t="s">
        <v>26</v>
      </c>
      <c r="B18" s="33" t="s">
        <v>18</v>
      </c>
      <c r="C18" s="34" t="s">
        <v>27</v>
      </c>
      <c r="D18" s="35" t="s">
        <v>28</v>
      </c>
      <c r="E18" s="36">
        <f>(E15+E16)*1.6</f>
        <v>10632.944000000001</v>
      </c>
      <c r="F18" s="184"/>
      <c r="G18" s="141"/>
      <c r="H18" s="164">
        <f>(H15+H16)*1.6</f>
        <v>2805.2960000000003</v>
      </c>
      <c r="I18" s="283"/>
      <c r="J18" s="283"/>
      <c r="K18" s="146"/>
      <c r="L18" s="146"/>
      <c r="M18" s="164"/>
      <c r="N18" s="204"/>
      <c r="O18" s="38">
        <v>0</v>
      </c>
      <c r="P18" s="37"/>
      <c r="Q18" s="38">
        <f t="shared" si="0"/>
        <v>0</v>
      </c>
    </row>
    <row r="19" spans="1:21" ht="15.75" x14ac:dyDescent="0.25">
      <c r="A19" s="32" t="s">
        <v>29</v>
      </c>
      <c r="B19" s="33" t="s">
        <v>18</v>
      </c>
      <c r="C19" s="34" t="s">
        <v>30</v>
      </c>
      <c r="D19" s="35" t="s">
        <v>20</v>
      </c>
      <c r="E19" s="35">
        <f>SUM(F19:M19)</f>
        <v>132.23999999999998</v>
      </c>
      <c r="F19" s="184">
        <v>40.450000000000003</v>
      </c>
      <c r="G19" s="141">
        <v>18.3</v>
      </c>
      <c r="H19" s="164">
        <f>19.7+8.13</f>
        <v>27.83</v>
      </c>
      <c r="I19" s="283">
        <v>18.98</v>
      </c>
      <c r="J19" s="283">
        <v>10.56</v>
      </c>
      <c r="K19" s="146">
        <v>3.71</v>
      </c>
      <c r="L19" s="146">
        <v>10.31</v>
      </c>
      <c r="M19" s="164">
        <v>2.1</v>
      </c>
      <c r="N19" s="204"/>
      <c r="O19" s="38">
        <v>0</v>
      </c>
      <c r="P19" s="37"/>
      <c r="Q19" s="38">
        <f t="shared" si="0"/>
        <v>0</v>
      </c>
    </row>
    <row r="20" spans="1:21" ht="25.5" customHeight="1" x14ac:dyDescent="0.25">
      <c r="A20" s="40" t="s">
        <v>31</v>
      </c>
      <c r="B20" s="41" t="s">
        <v>32</v>
      </c>
      <c r="C20" s="42" t="s">
        <v>33</v>
      </c>
      <c r="D20" s="43" t="s">
        <v>25</v>
      </c>
      <c r="E20" s="43">
        <f>1.1*E19</f>
        <v>145.464</v>
      </c>
      <c r="F20" s="185"/>
      <c r="G20" s="142"/>
      <c r="H20" s="165">
        <f>1.1*H19</f>
        <v>30.613</v>
      </c>
      <c r="I20" s="284"/>
      <c r="J20" s="284"/>
      <c r="K20" s="147"/>
      <c r="L20" s="147"/>
      <c r="M20" s="165"/>
      <c r="N20" s="204">
        <v>0</v>
      </c>
      <c r="O20" s="38"/>
      <c r="P20" s="37">
        <f>E20*N20</f>
        <v>0</v>
      </c>
      <c r="Q20" s="39"/>
      <c r="U20" s="254"/>
    </row>
    <row r="21" spans="1:21" ht="30.75" customHeight="1" x14ac:dyDescent="0.25">
      <c r="A21" s="32" t="s">
        <v>12</v>
      </c>
      <c r="B21" s="33" t="s">
        <v>18</v>
      </c>
      <c r="C21" s="34" t="s">
        <v>34</v>
      </c>
      <c r="D21" s="35" t="s">
        <v>20</v>
      </c>
      <c r="E21" s="36">
        <f>SUM(F21:M21)</f>
        <v>829.11999999999989</v>
      </c>
      <c r="F21" s="217">
        <f>161.02+13.65+52.04</f>
        <v>226.71</v>
      </c>
      <c r="G21" s="217">
        <v>95.43</v>
      </c>
      <c r="H21" s="164">
        <f>115.08+47.61</f>
        <v>162.69</v>
      </c>
      <c r="I21" s="285">
        <v>107.17</v>
      </c>
      <c r="J21" s="309">
        <f>39.43+19.37</f>
        <v>58.8</v>
      </c>
      <c r="K21" s="36">
        <v>21.38</v>
      </c>
      <c r="L21" s="36">
        <v>132.01</v>
      </c>
      <c r="M21" s="36">
        <v>24.93</v>
      </c>
      <c r="N21" s="204"/>
      <c r="O21" s="38">
        <v>0</v>
      </c>
      <c r="P21" s="37"/>
      <c r="Q21" s="39">
        <f>E21*O21</f>
        <v>0</v>
      </c>
    </row>
    <row r="22" spans="1:21" ht="34.5" customHeight="1" x14ac:dyDescent="0.25">
      <c r="A22" s="40" t="s">
        <v>35</v>
      </c>
      <c r="B22" s="41" t="s">
        <v>32</v>
      </c>
      <c r="C22" s="42" t="s">
        <v>33</v>
      </c>
      <c r="D22" s="43" t="s">
        <v>36</v>
      </c>
      <c r="E22" s="44">
        <f t="shared" ref="E22:E26" si="1">SUM(F22:M22)</f>
        <v>912.03200000000015</v>
      </c>
      <c r="F22" s="218">
        <f t="shared" ref="F22:M22" si="2">1.1*F21</f>
        <v>249.38100000000003</v>
      </c>
      <c r="G22" s="218">
        <f t="shared" si="2"/>
        <v>104.97300000000001</v>
      </c>
      <c r="H22" s="165">
        <f t="shared" si="2"/>
        <v>178.959</v>
      </c>
      <c r="I22" s="286">
        <f t="shared" si="2"/>
        <v>117.88700000000001</v>
      </c>
      <c r="J22" s="310">
        <f t="shared" si="2"/>
        <v>64.680000000000007</v>
      </c>
      <c r="K22" s="44">
        <f t="shared" si="2"/>
        <v>23.518000000000001</v>
      </c>
      <c r="L22" s="44">
        <f t="shared" si="2"/>
        <v>145.21100000000001</v>
      </c>
      <c r="M22" s="44">
        <f t="shared" si="2"/>
        <v>27.423000000000002</v>
      </c>
      <c r="N22" s="204">
        <v>0</v>
      </c>
      <c r="O22" s="38"/>
      <c r="P22" s="37">
        <f>E22*N22</f>
        <v>0</v>
      </c>
      <c r="Q22" s="39"/>
    </row>
    <row r="23" spans="1:21" ht="25.5" x14ac:dyDescent="0.25">
      <c r="A23" s="32" t="s">
        <v>13</v>
      </c>
      <c r="B23" s="33" t="s">
        <v>18</v>
      </c>
      <c r="C23" s="34" t="s">
        <v>37</v>
      </c>
      <c r="D23" s="35" t="s">
        <v>25</v>
      </c>
      <c r="E23" s="36">
        <f t="shared" si="1"/>
        <v>5287.5099999999993</v>
      </c>
      <c r="F23" s="217">
        <f>998.74+123.5+403.69</f>
        <v>1525.93</v>
      </c>
      <c r="G23" s="217">
        <v>562.22</v>
      </c>
      <c r="H23" s="164">
        <f>1108.5+367.13</f>
        <v>1475.63</v>
      </c>
      <c r="I23" s="287">
        <f>659.01+3.58</f>
        <v>662.59</v>
      </c>
      <c r="J23" s="309">
        <f>127.75+115.4</f>
        <v>243.15</v>
      </c>
      <c r="K23" s="36">
        <v>71.78</v>
      </c>
      <c r="L23" s="36">
        <v>379.85</v>
      </c>
      <c r="M23" s="36">
        <v>366.36</v>
      </c>
      <c r="N23" s="204"/>
      <c r="O23" s="38">
        <v>0</v>
      </c>
      <c r="P23" s="37"/>
      <c r="Q23" s="39">
        <f>E23*O23</f>
        <v>0</v>
      </c>
    </row>
    <row r="24" spans="1:21" ht="25.5" x14ac:dyDescent="0.25">
      <c r="A24" s="40" t="s">
        <v>38</v>
      </c>
      <c r="B24" s="41" t="s">
        <v>32</v>
      </c>
      <c r="C24" s="42" t="s">
        <v>33</v>
      </c>
      <c r="D24" s="43" t="s">
        <v>25</v>
      </c>
      <c r="E24" s="44">
        <f t="shared" si="1"/>
        <v>2130.6760000000004</v>
      </c>
      <c r="F24" s="218">
        <v>68.59</v>
      </c>
      <c r="G24" s="218">
        <v>324.57</v>
      </c>
      <c r="H24" s="165">
        <v>1132.43</v>
      </c>
      <c r="I24" s="286">
        <v>137.91</v>
      </c>
      <c r="J24" s="310">
        <v>2.73</v>
      </c>
      <c r="K24" s="44">
        <v>0</v>
      </c>
      <c r="L24" s="44">
        <v>61.45</v>
      </c>
      <c r="M24" s="44">
        <f t="shared" ref="M24" si="3">1.1*M23</f>
        <v>402.99600000000004</v>
      </c>
      <c r="N24" s="204">
        <v>0</v>
      </c>
      <c r="O24" s="38"/>
      <c r="P24" s="37">
        <f>E24*N24</f>
        <v>0</v>
      </c>
      <c r="Q24" s="39"/>
    </row>
    <row r="25" spans="1:21" x14ac:dyDescent="0.25">
      <c r="A25" s="74" t="s">
        <v>130</v>
      </c>
      <c r="B25" s="75"/>
      <c r="C25" s="268" t="s">
        <v>167</v>
      </c>
      <c r="D25" s="43" t="s">
        <v>25</v>
      </c>
      <c r="E25" s="44">
        <f t="shared" si="1"/>
        <v>3659.0299999999993</v>
      </c>
      <c r="F25" s="269">
        <v>1583.72</v>
      </c>
      <c r="G25" s="269">
        <v>293.88</v>
      </c>
      <c r="H25" s="171">
        <v>490.76</v>
      </c>
      <c r="I25" s="288">
        <f>587+3.58</f>
        <v>590.58000000000004</v>
      </c>
      <c r="J25" s="311">
        <f>137.8+126.94</f>
        <v>264.74</v>
      </c>
      <c r="K25" s="78">
        <v>78.959999999999994</v>
      </c>
      <c r="L25" s="78">
        <v>356.39</v>
      </c>
      <c r="M25" s="78"/>
      <c r="N25" s="205"/>
      <c r="O25" s="51"/>
      <c r="P25" s="50"/>
      <c r="Q25" s="39"/>
    </row>
    <row r="26" spans="1:21" ht="16.5" thickBot="1" x14ac:dyDescent="0.3">
      <c r="A26" s="45" t="s">
        <v>14</v>
      </c>
      <c r="B26" s="46" t="s">
        <v>18</v>
      </c>
      <c r="C26" s="47" t="s">
        <v>39</v>
      </c>
      <c r="D26" s="48" t="s">
        <v>20</v>
      </c>
      <c r="E26" s="49">
        <f t="shared" si="1"/>
        <v>5287.5099999999993</v>
      </c>
      <c r="F26" s="219">
        <f>998.74+123.5+403.69</f>
        <v>1525.93</v>
      </c>
      <c r="G26" s="219">
        <v>562.22</v>
      </c>
      <c r="H26" s="166">
        <f>1108.5+367.13</f>
        <v>1475.63</v>
      </c>
      <c r="I26" s="289">
        <f>659.01+3.58</f>
        <v>662.59</v>
      </c>
      <c r="J26" s="312">
        <f>127.75+115.4</f>
        <v>243.15</v>
      </c>
      <c r="K26" s="49">
        <v>71.78</v>
      </c>
      <c r="L26" s="49">
        <v>379.85</v>
      </c>
      <c r="M26" s="49">
        <v>366.36</v>
      </c>
      <c r="N26" s="205"/>
      <c r="O26" s="51">
        <v>0</v>
      </c>
      <c r="P26" s="50"/>
      <c r="Q26" s="39">
        <f>E26*O26</f>
        <v>0</v>
      </c>
    </row>
    <row r="27" spans="1:21" ht="15" x14ac:dyDescent="0.25">
      <c r="A27" s="26"/>
      <c r="B27" s="27"/>
      <c r="C27" s="28" t="s">
        <v>40</v>
      </c>
      <c r="D27" s="52"/>
      <c r="E27" s="221"/>
      <c r="F27" s="187"/>
      <c r="G27" s="160"/>
      <c r="H27" s="167"/>
      <c r="I27" s="290"/>
      <c r="J27" s="290"/>
      <c r="K27" s="222"/>
      <c r="L27" s="222"/>
      <c r="M27" s="223"/>
      <c r="N27" s="206"/>
      <c r="O27" s="54"/>
      <c r="P27" s="55">
        <f>SUM(P20:P26)</f>
        <v>0</v>
      </c>
      <c r="Q27" s="53">
        <f>SUM(Q15:Q26)</f>
        <v>0</v>
      </c>
    </row>
    <row r="28" spans="1:21" ht="15.75" thickBot="1" x14ac:dyDescent="0.3">
      <c r="A28" s="56"/>
      <c r="B28" s="57"/>
      <c r="C28" s="58" t="s">
        <v>41</v>
      </c>
      <c r="D28" s="59"/>
      <c r="E28" s="224"/>
      <c r="F28" s="188"/>
      <c r="G28" s="161"/>
      <c r="H28" s="168"/>
      <c r="I28" s="291"/>
      <c r="J28" s="291"/>
      <c r="K28" s="225"/>
      <c r="L28" s="225"/>
      <c r="M28" s="226"/>
      <c r="N28" s="207"/>
      <c r="O28" s="61"/>
      <c r="P28" s="62"/>
      <c r="Q28" s="60">
        <f>P27+Q27</f>
        <v>0</v>
      </c>
    </row>
    <row r="29" spans="1:21" ht="22.5" customHeight="1" x14ac:dyDescent="0.25">
      <c r="A29" s="63"/>
      <c r="B29" s="64" t="s">
        <v>42</v>
      </c>
      <c r="C29" s="65" t="s">
        <v>43</v>
      </c>
      <c r="D29" s="64"/>
      <c r="E29" s="64"/>
      <c r="F29" s="189"/>
      <c r="G29" s="138"/>
      <c r="H29" s="169"/>
      <c r="I29" s="292"/>
      <c r="J29" s="292"/>
      <c r="K29" s="220"/>
      <c r="L29" s="220"/>
      <c r="M29" s="169"/>
      <c r="N29" s="208"/>
      <c r="O29" s="67"/>
      <c r="P29" s="66"/>
      <c r="Q29" s="67"/>
    </row>
    <row r="30" spans="1:21" ht="25.5" x14ac:dyDescent="0.25">
      <c r="A30" s="32" t="s">
        <v>44</v>
      </c>
      <c r="B30" s="33" t="s">
        <v>18</v>
      </c>
      <c r="C30" s="34" t="s">
        <v>45</v>
      </c>
      <c r="D30" s="35" t="s">
        <v>46</v>
      </c>
      <c r="E30" s="35">
        <f>SUM(F30:M30)</f>
        <v>121.43</v>
      </c>
      <c r="F30" s="184"/>
      <c r="G30" s="141"/>
      <c r="H30" s="164">
        <f>66.11+31.97</f>
        <v>98.08</v>
      </c>
      <c r="I30" s="283"/>
      <c r="J30" s="283"/>
      <c r="K30" s="146"/>
      <c r="L30" s="146"/>
      <c r="M30" s="36">
        <v>23.35</v>
      </c>
      <c r="N30" s="204"/>
      <c r="O30" s="38">
        <v>0</v>
      </c>
      <c r="P30" s="68"/>
      <c r="Q30" s="38">
        <f>E30*O30</f>
        <v>0</v>
      </c>
    </row>
    <row r="31" spans="1:21" ht="25.5" x14ac:dyDescent="0.25">
      <c r="A31" s="40" t="s">
        <v>47</v>
      </c>
      <c r="B31" s="41" t="s">
        <v>32</v>
      </c>
      <c r="C31" s="42" t="s">
        <v>48</v>
      </c>
      <c r="D31" s="43" t="s">
        <v>46</v>
      </c>
      <c r="E31" s="44">
        <f>E30*1.025</f>
        <v>124.46575</v>
      </c>
      <c r="F31" s="185"/>
      <c r="G31" s="142"/>
      <c r="H31" s="165">
        <f>1.025*H30</f>
        <v>100.532</v>
      </c>
      <c r="I31" s="284"/>
      <c r="J31" s="284"/>
      <c r="K31" s="147"/>
      <c r="L31" s="147"/>
      <c r="M31" s="44">
        <f>1.025*M30</f>
        <v>23.93375</v>
      </c>
      <c r="N31" s="204">
        <v>0</v>
      </c>
      <c r="O31" s="69"/>
      <c r="P31" s="37">
        <f>E31*N31</f>
        <v>0</v>
      </c>
      <c r="Q31" s="69"/>
    </row>
    <row r="32" spans="1:21" x14ac:dyDescent="0.25">
      <c r="A32" s="40" t="s">
        <v>49</v>
      </c>
      <c r="B32" s="41" t="s">
        <v>32</v>
      </c>
      <c r="C32" s="42" t="s">
        <v>50</v>
      </c>
      <c r="D32" s="43" t="s">
        <v>51</v>
      </c>
      <c r="E32" s="44">
        <f>H32+M32</f>
        <v>22</v>
      </c>
      <c r="F32" s="185"/>
      <c r="G32" s="142"/>
      <c r="H32" s="165">
        <f>10+6</f>
        <v>16</v>
      </c>
      <c r="I32" s="284"/>
      <c r="J32" s="284"/>
      <c r="K32" s="147"/>
      <c r="L32" s="147"/>
      <c r="M32" s="78">
        <v>6</v>
      </c>
      <c r="N32" s="204">
        <v>0</v>
      </c>
      <c r="O32" s="69"/>
      <c r="P32" s="37">
        <f>E32*N32</f>
        <v>0</v>
      </c>
      <c r="Q32" s="69"/>
    </row>
    <row r="33" spans="1:17" ht="32.25" customHeight="1" x14ac:dyDescent="0.25">
      <c r="A33" s="32" t="s">
        <v>21</v>
      </c>
      <c r="B33" s="33" t="s">
        <v>18</v>
      </c>
      <c r="C33" s="34" t="s">
        <v>52</v>
      </c>
      <c r="D33" s="35" t="s">
        <v>46</v>
      </c>
      <c r="E33" s="36">
        <f>H33</f>
        <v>9.9</v>
      </c>
      <c r="F33" s="184"/>
      <c r="G33" s="141"/>
      <c r="H33" s="164">
        <v>9.9</v>
      </c>
      <c r="I33" s="283"/>
      <c r="J33" s="283"/>
      <c r="K33" s="146"/>
      <c r="L33" s="146"/>
      <c r="M33" s="164"/>
      <c r="N33" s="204"/>
      <c r="O33" s="38">
        <v>0</v>
      </c>
      <c r="P33" s="68"/>
      <c r="Q33" s="38">
        <f>E33*O33</f>
        <v>0</v>
      </c>
    </row>
    <row r="34" spans="1:17" ht="28.5" customHeight="1" x14ac:dyDescent="0.25">
      <c r="A34" s="40" t="s">
        <v>53</v>
      </c>
      <c r="B34" s="41" t="s">
        <v>32</v>
      </c>
      <c r="C34" s="42" t="s">
        <v>54</v>
      </c>
      <c r="D34" s="43" t="s">
        <v>46</v>
      </c>
      <c r="E34" s="44">
        <f>H34</f>
        <v>10.147499999999999</v>
      </c>
      <c r="F34" s="185"/>
      <c r="G34" s="142"/>
      <c r="H34" s="165">
        <f>1.025*H33</f>
        <v>10.147499999999999</v>
      </c>
      <c r="I34" s="284"/>
      <c r="J34" s="284"/>
      <c r="K34" s="147"/>
      <c r="L34" s="147"/>
      <c r="M34" s="165"/>
      <c r="N34" s="204">
        <v>0</v>
      </c>
      <c r="O34" s="69"/>
      <c r="P34" s="37">
        <f>E34*N34</f>
        <v>0</v>
      </c>
      <c r="Q34" s="69"/>
    </row>
    <row r="35" spans="1:17" ht="25.5" x14ac:dyDescent="0.25">
      <c r="A35" s="40" t="s">
        <v>55</v>
      </c>
      <c r="B35" s="41" t="s">
        <v>32</v>
      </c>
      <c r="C35" s="42" t="s">
        <v>56</v>
      </c>
      <c r="D35" s="43" t="s">
        <v>51</v>
      </c>
      <c r="E35" s="44">
        <f>H35</f>
        <v>4</v>
      </c>
      <c r="F35" s="185"/>
      <c r="G35" s="142"/>
      <c r="H35" s="165">
        <v>4</v>
      </c>
      <c r="I35" s="284"/>
      <c r="J35" s="284"/>
      <c r="K35" s="147"/>
      <c r="L35" s="147"/>
      <c r="M35" s="165"/>
      <c r="N35" s="204">
        <v>0</v>
      </c>
      <c r="O35" s="69"/>
      <c r="P35" s="37">
        <f>E35*N35</f>
        <v>0</v>
      </c>
      <c r="Q35" s="69"/>
    </row>
    <row r="36" spans="1:17" ht="25.5" x14ac:dyDescent="0.25">
      <c r="A36" s="32" t="s">
        <v>23</v>
      </c>
      <c r="B36" s="33" t="s">
        <v>18</v>
      </c>
      <c r="C36" s="34" t="s">
        <v>57</v>
      </c>
      <c r="D36" s="43" t="s">
        <v>46</v>
      </c>
      <c r="E36" s="36">
        <f>SUM(F36:M36)</f>
        <v>559.20000000000005</v>
      </c>
      <c r="F36" s="209">
        <f>139.91+16.95+45.59</f>
        <v>202.45</v>
      </c>
      <c r="G36" s="142"/>
      <c r="H36" s="164">
        <v>13.4</v>
      </c>
      <c r="I36" s="283">
        <v>124.8</v>
      </c>
      <c r="J36" s="313">
        <f>37.3+24.05</f>
        <v>61.349999999999994</v>
      </c>
      <c r="K36" s="146">
        <v>22.7</v>
      </c>
      <c r="L36" s="146">
        <v>134.5</v>
      </c>
      <c r="M36" s="136"/>
      <c r="N36" s="204"/>
      <c r="O36" s="38">
        <v>0</v>
      </c>
      <c r="P36" s="68"/>
      <c r="Q36" s="38">
        <f>E36*O36</f>
        <v>0</v>
      </c>
    </row>
    <row r="37" spans="1:17" ht="25.5" x14ac:dyDescent="0.25">
      <c r="A37" s="40" t="s">
        <v>58</v>
      </c>
      <c r="B37" s="41" t="s">
        <v>32</v>
      </c>
      <c r="C37" s="70" t="s">
        <v>59</v>
      </c>
      <c r="D37" s="43" t="s">
        <v>46</v>
      </c>
      <c r="E37" s="44">
        <f>SUM(F37:L37)</f>
        <v>573.17999999999995</v>
      </c>
      <c r="F37" s="204">
        <f>1.025*F36</f>
        <v>207.51124999999996</v>
      </c>
      <c r="G37" s="142"/>
      <c r="H37" s="165">
        <f>1.025*H36</f>
        <v>13.734999999999999</v>
      </c>
      <c r="I37" s="284">
        <f>1.025*I36</f>
        <v>127.91999999999999</v>
      </c>
      <c r="J37" s="314">
        <f>1.025*J36</f>
        <v>62.883749999999992</v>
      </c>
      <c r="K37" s="147">
        <f>1.025*K36</f>
        <v>23.267499999999998</v>
      </c>
      <c r="L37" s="147">
        <f>1.025*L36</f>
        <v>137.86249999999998</v>
      </c>
      <c r="M37" s="137"/>
      <c r="N37" s="204">
        <v>0</v>
      </c>
      <c r="O37" s="69"/>
      <c r="P37" s="37">
        <f>E37*N37</f>
        <v>0</v>
      </c>
      <c r="Q37" s="69"/>
    </row>
    <row r="38" spans="1:17" x14ac:dyDescent="0.25">
      <c r="A38" s="40" t="s">
        <v>60</v>
      </c>
      <c r="B38" s="41" t="s">
        <v>32</v>
      </c>
      <c r="C38" s="70" t="s">
        <v>61</v>
      </c>
      <c r="D38" s="43" t="s">
        <v>51</v>
      </c>
      <c r="E38" s="44">
        <f>SUM(F38:L38)</f>
        <v>84</v>
      </c>
      <c r="F38" s="204">
        <f>24+2+8</f>
        <v>34</v>
      </c>
      <c r="G38" s="142"/>
      <c r="H38" s="165">
        <v>2</v>
      </c>
      <c r="I38" s="284">
        <v>12</v>
      </c>
      <c r="J38" s="315">
        <f>10+2</f>
        <v>12</v>
      </c>
      <c r="K38" s="147">
        <v>4</v>
      </c>
      <c r="L38" s="147">
        <v>20</v>
      </c>
      <c r="M38" s="137"/>
      <c r="N38" s="204">
        <v>0</v>
      </c>
      <c r="O38" s="69"/>
      <c r="P38" s="37">
        <f>E38*N38</f>
        <v>0</v>
      </c>
      <c r="Q38" s="69"/>
    </row>
    <row r="39" spans="1:17" ht="25.5" x14ac:dyDescent="0.25">
      <c r="A39" s="32" t="s">
        <v>26</v>
      </c>
      <c r="B39" s="33" t="s">
        <v>18</v>
      </c>
      <c r="C39" s="71" t="s">
        <v>62</v>
      </c>
      <c r="D39" s="72" t="s">
        <v>46</v>
      </c>
      <c r="E39" s="73">
        <f>SUM(G39:H39)</f>
        <v>166.18</v>
      </c>
      <c r="F39" s="190"/>
      <c r="G39" s="136">
        <v>118.85</v>
      </c>
      <c r="H39" s="146">
        <f>40.98+6.35</f>
        <v>47.33</v>
      </c>
      <c r="I39" s="282"/>
      <c r="J39" s="283"/>
      <c r="K39" s="214"/>
      <c r="L39" s="214"/>
      <c r="M39" s="164"/>
      <c r="N39" s="204"/>
      <c r="O39" s="38">
        <v>0</v>
      </c>
      <c r="P39" s="68"/>
      <c r="Q39" s="38">
        <f>E39*O39</f>
        <v>0</v>
      </c>
    </row>
    <row r="40" spans="1:17" ht="25.5" x14ac:dyDescent="0.25">
      <c r="A40" s="40" t="s">
        <v>63</v>
      </c>
      <c r="B40" s="41" t="s">
        <v>32</v>
      </c>
      <c r="C40" s="70" t="s">
        <v>64</v>
      </c>
      <c r="D40" s="43" t="s">
        <v>46</v>
      </c>
      <c r="E40" s="44">
        <f>E39*1.025</f>
        <v>170.33449999999999</v>
      </c>
      <c r="F40" s="185"/>
      <c r="G40" s="137">
        <f>1.025*G39</f>
        <v>121.82124999999998</v>
      </c>
      <c r="H40" s="147">
        <f>1.025*H39</f>
        <v>48.513249999999992</v>
      </c>
      <c r="I40" s="284"/>
      <c r="J40" s="284"/>
      <c r="K40" s="147"/>
      <c r="L40" s="147"/>
      <c r="M40" s="165"/>
      <c r="N40" s="204">
        <v>0</v>
      </c>
      <c r="O40" s="69"/>
      <c r="P40" s="37">
        <f>E40*N40</f>
        <v>0</v>
      </c>
      <c r="Q40" s="69"/>
    </row>
    <row r="41" spans="1:17" ht="13.5" thickBot="1" x14ac:dyDescent="0.3">
      <c r="A41" s="74" t="s">
        <v>65</v>
      </c>
      <c r="B41" s="75" t="s">
        <v>32</v>
      </c>
      <c r="C41" s="76" t="s">
        <v>66</v>
      </c>
      <c r="D41" s="77" t="s">
        <v>51</v>
      </c>
      <c r="E41" s="78">
        <f>G41+H41</f>
        <v>24</v>
      </c>
      <c r="F41" s="191"/>
      <c r="G41" s="139">
        <v>12</v>
      </c>
      <c r="H41" s="228">
        <f>10+2</f>
        <v>12</v>
      </c>
      <c r="I41" s="293"/>
      <c r="J41" s="293"/>
      <c r="K41" s="227"/>
      <c r="L41" s="227"/>
      <c r="M41" s="171"/>
      <c r="N41" s="205">
        <v>0</v>
      </c>
      <c r="O41" s="79"/>
      <c r="P41" s="37">
        <f>E41*N41</f>
        <v>0</v>
      </c>
      <c r="Q41" s="79"/>
    </row>
    <row r="42" spans="1:17" ht="15" x14ac:dyDescent="0.25">
      <c r="A42" s="80"/>
      <c r="B42" s="81"/>
      <c r="C42" s="28" t="s">
        <v>40</v>
      </c>
      <c r="D42" s="52"/>
      <c r="E42" s="52"/>
      <c r="F42" s="194"/>
      <c r="G42" s="160"/>
      <c r="H42" s="167"/>
      <c r="I42" s="290"/>
      <c r="J42" s="290"/>
      <c r="K42" s="222"/>
      <c r="L42" s="222"/>
      <c r="M42" s="223"/>
      <c r="N42" s="206"/>
      <c r="O42" s="54"/>
      <c r="P42" s="55">
        <f>SUM(P31:P41)</f>
        <v>0</v>
      </c>
      <c r="Q42" s="53">
        <f>SUM(Q30:Q41)</f>
        <v>0</v>
      </c>
    </row>
    <row r="43" spans="1:17" ht="15.75" thickBot="1" x14ac:dyDescent="0.3">
      <c r="A43" s="82"/>
      <c r="B43" s="83"/>
      <c r="C43" s="58" t="s">
        <v>41</v>
      </c>
      <c r="D43" s="59"/>
      <c r="E43" s="59"/>
      <c r="F43" s="195"/>
      <c r="G43" s="161"/>
      <c r="H43" s="168"/>
      <c r="I43" s="291"/>
      <c r="J43" s="291"/>
      <c r="K43" s="225"/>
      <c r="L43" s="225"/>
      <c r="M43" s="226"/>
      <c r="N43" s="207"/>
      <c r="O43" s="61"/>
      <c r="P43" s="62"/>
      <c r="Q43" s="60">
        <f>P42+Q42</f>
        <v>0</v>
      </c>
    </row>
    <row r="44" spans="1:17" ht="22.5" customHeight="1" thickBot="1" x14ac:dyDescent="0.3">
      <c r="A44" s="63"/>
      <c r="B44" s="64" t="s">
        <v>67</v>
      </c>
      <c r="C44" s="65" t="s">
        <v>68</v>
      </c>
      <c r="D44" s="64"/>
      <c r="E44" s="64"/>
      <c r="F44" s="10"/>
      <c r="G44" s="242"/>
      <c r="H44" s="243"/>
      <c r="I44" s="294"/>
      <c r="J44" s="294"/>
      <c r="K44" s="11"/>
      <c r="L44" s="11"/>
      <c r="M44" s="243"/>
      <c r="N44" s="244"/>
      <c r="O44" s="245"/>
      <c r="P44" s="246"/>
      <c r="Q44" s="245"/>
    </row>
    <row r="45" spans="1:17" ht="22.5" customHeight="1" x14ac:dyDescent="0.25">
      <c r="A45" s="233" t="s">
        <v>44</v>
      </c>
      <c r="B45" s="234" t="s">
        <v>18</v>
      </c>
      <c r="C45" s="235" t="s">
        <v>158</v>
      </c>
      <c r="D45" s="99" t="s">
        <v>46</v>
      </c>
      <c r="E45" s="121">
        <f>SUM(F45:L45)</f>
        <v>31.34</v>
      </c>
      <c r="F45" s="240">
        <v>19.61</v>
      </c>
      <c r="G45" s="248"/>
      <c r="H45" s="247"/>
      <c r="I45" s="295"/>
      <c r="J45" s="316"/>
      <c r="K45" s="220"/>
      <c r="L45" s="85">
        <v>11.73</v>
      </c>
      <c r="M45" s="169"/>
      <c r="N45" s="241"/>
      <c r="O45" s="39">
        <v>0</v>
      </c>
      <c r="P45" s="263"/>
      <c r="Q45" s="39">
        <f>E45*O45</f>
        <v>0</v>
      </c>
    </row>
    <row r="46" spans="1:17" ht="22.5" customHeight="1" x14ac:dyDescent="0.25">
      <c r="A46" s="236" t="s">
        <v>47</v>
      </c>
      <c r="B46" s="237" t="s">
        <v>32</v>
      </c>
      <c r="C46" s="238" t="s">
        <v>159</v>
      </c>
      <c r="D46" s="258" t="s">
        <v>46</v>
      </c>
      <c r="E46" s="44">
        <f>E45</f>
        <v>31.34</v>
      </c>
      <c r="F46" s="239">
        <v>19.61</v>
      </c>
      <c r="G46" s="146"/>
      <c r="H46" s="37"/>
      <c r="I46" s="283"/>
      <c r="J46" s="316"/>
      <c r="K46" s="220"/>
      <c r="L46" s="44">
        <f>L45</f>
        <v>11.73</v>
      </c>
      <c r="M46" s="169"/>
      <c r="N46" s="241">
        <v>0</v>
      </c>
      <c r="O46" s="262"/>
      <c r="P46" s="247">
        <f>E46*N46</f>
        <v>0</v>
      </c>
      <c r="Q46" s="262"/>
    </row>
    <row r="47" spans="1:17" x14ac:dyDescent="0.25">
      <c r="A47" s="32" t="s">
        <v>21</v>
      </c>
      <c r="B47" s="84" t="s">
        <v>18</v>
      </c>
      <c r="C47" s="84" t="s">
        <v>69</v>
      </c>
      <c r="D47" s="253" t="s">
        <v>46</v>
      </c>
      <c r="E47" s="85">
        <f>SUM(G47:J47)</f>
        <v>23.59</v>
      </c>
      <c r="F47" s="192"/>
      <c r="G47" s="140">
        <v>5.81</v>
      </c>
      <c r="H47" s="172">
        <v>9.2100000000000009</v>
      </c>
      <c r="I47" s="296">
        <v>4.2699999999999996</v>
      </c>
      <c r="J47" s="317">
        <v>4.3</v>
      </c>
      <c r="K47" s="149">
        <v>3</v>
      </c>
      <c r="L47" s="149"/>
      <c r="M47" s="172"/>
      <c r="N47" s="204"/>
      <c r="O47" s="38">
        <v>0</v>
      </c>
      <c r="P47" s="68"/>
      <c r="Q47" s="38">
        <f>E47*O47</f>
        <v>0</v>
      </c>
    </row>
    <row r="48" spans="1:17" ht="25.5" x14ac:dyDescent="0.25">
      <c r="A48" s="40" t="s">
        <v>53</v>
      </c>
      <c r="B48" s="86" t="s">
        <v>32</v>
      </c>
      <c r="C48" s="86" t="s">
        <v>70</v>
      </c>
      <c r="D48" s="258" t="s">
        <v>46</v>
      </c>
      <c r="E48" s="87">
        <f>E47</f>
        <v>23.59</v>
      </c>
      <c r="F48" s="193"/>
      <c r="G48" s="162">
        <v>5.81</v>
      </c>
      <c r="H48" s="165">
        <f>H47</f>
        <v>9.2100000000000009</v>
      </c>
      <c r="I48" s="286">
        <f>I47</f>
        <v>4.2699999999999996</v>
      </c>
      <c r="J48" s="284">
        <v>4.3</v>
      </c>
      <c r="K48" s="147">
        <v>3</v>
      </c>
      <c r="L48" s="147"/>
      <c r="M48" s="165"/>
      <c r="N48" s="204">
        <v>0</v>
      </c>
      <c r="O48" s="69"/>
      <c r="P48" s="37">
        <f>E48*N48</f>
        <v>0</v>
      </c>
      <c r="Q48" s="69"/>
    </row>
    <row r="49" spans="1:17" ht="25.5" x14ac:dyDescent="0.25">
      <c r="A49" s="249" t="s">
        <v>23</v>
      </c>
      <c r="B49" s="32" t="s">
        <v>18</v>
      </c>
      <c r="C49" s="250" t="s">
        <v>160</v>
      </c>
      <c r="D49" s="259" t="s">
        <v>46</v>
      </c>
      <c r="E49" s="257">
        <f>SUM(F49:L49)</f>
        <v>97.6</v>
      </c>
      <c r="F49" s="217">
        <f>53.86+17.7</f>
        <v>71.56</v>
      </c>
      <c r="G49" s="162"/>
      <c r="H49" s="165"/>
      <c r="I49" s="284"/>
      <c r="J49" s="284"/>
      <c r="K49" s="147"/>
      <c r="L49" s="36">
        <v>26.04</v>
      </c>
      <c r="M49" s="165"/>
      <c r="N49" s="204"/>
      <c r="O49" s="38">
        <v>0</v>
      </c>
      <c r="P49" s="68"/>
      <c r="Q49" s="38">
        <f>E49*O49</f>
        <v>0</v>
      </c>
    </row>
    <row r="50" spans="1:17" x14ac:dyDescent="0.25">
      <c r="A50" s="236" t="s">
        <v>58</v>
      </c>
      <c r="B50" s="40" t="s">
        <v>32</v>
      </c>
      <c r="C50" s="251" t="s">
        <v>161</v>
      </c>
      <c r="D50" s="260" t="s">
        <v>46</v>
      </c>
      <c r="E50" s="255">
        <f>SUM(F50:L50)</f>
        <v>97.6</v>
      </c>
      <c r="F50" s="218">
        <f>F49</f>
        <v>71.56</v>
      </c>
      <c r="G50" s="162"/>
      <c r="H50" s="165"/>
      <c r="I50" s="284"/>
      <c r="J50" s="284"/>
      <c r="K50" s="147"/>
      <c r="L50" s="44">
        <f>L49</f>
        <v>26.04</v>
      </c>
      <c r="M50" s="165"/>
      <c r="N50" s="204">
        <v>0</v>
      </c>
      <c r="O50" s="69"/>
      <c r="P50" s="37">
        <f>E50*N50</f>
        <v>0</v>
      </c>
      <c r="Q50" s="69"/>
    </row>
    <row r="51" spans="1:17" x14ac:dyDescent="0.25">
      <c r="A51" s="236" t="s">
        <v>60</v>
      </c>
      <c r="B51" s="40" t="s">
        <v>32</v>
      </c>
      <c r="C51" s="251" t="s">
        <v>162</v>
      </c>
      <c r="D51" s="260" t="s">
        <v>51</v>
      </c>
      <c r="E51" s="256">
        <f>SUM(F51:L51)</f>
        <v>16</v>
      </c>
      <c r="F51" s="252">
        <f>8+3</f>
        <v>11</v>
      </c>
      <c r="G51" s="162"/>
      <c r="H51" s="165"/>
      <c r="I51" s="284"/>
      <c r="J51" s="284"/>
      <c r="K51" s="147"/>
      <c r="L51" s="89">
        <v>5</v>
      </c>
      <c r="M51" s="165"/>
      <c r="N51" s="204">
        <v>0</v>
      </c>
      <c r="O51" s="69"/>
      <c r="P51" s="37">
        <f>E51*N51</f>
        <v>0</v>
      </c>
      <c r="Q51" s="69"/>
    </row>
    <row r="52" spans="1:17" ht="25.5" x14ac:dyDescent="0.25">
      <c r="A52" s="32" t="s">
        <v>26</v>
      </c>
      <c r="B52" s="33" t="s">
        <v>18</v>
      </c>
      <c r="C52" s="88" t="s">
        <v>71</v>
      </c>
      <c r="D52" s="259" t="s">
        <v>46</v>
      </c>
      <c r="E52" s="36">
        <f>SUM(F52:K52)</f>
        <v>76.680000000000007</v>
      </c>
      <c r="F52" s="217">
        <f>12.3</f>
        <v>12.3</v>
      </c>
      <c r="G52" s="36">
        <v>16.71</v>
      </c>
      <c r="H52" s="164">
        <f>18.53+4.05</f>
        <v>22.580000000000002</v>
      </c>
      <c r="I52" s="285">
        <v>8.49</v>
      </c>
      <c r="J52" s="283">
        <v>13.6</v>
      </c>
      <c r="K52" s="146">
        <v>3</v>
      </c>
      <c r="L52" s="146"/>
      <c r="M52" s="164"/>
      <c r="N52" s="209"/>
      <c r="O52" s="38">
        <v>0</v>
      </c>
      <c r="P52" s="68"/>
      <c r="Q52" s="38">
        <f>E52*O52</f>
        <v>0</v>
      </c>
    </row>
    <row r="53" spans="1:17" x14ac:dyDescent="0.25">
      <c r="A53" s="40" t="s">
        <v>63</v>
      </c>
      <c r="B53" s="41" t="s">
        <v>32</v>
      </c>
      <c r="C53" s="70" t="s">
        <v>72</v>
      </c>
      <c r="D53" s="260" t="s">
        <v>46</v>
      </c>
      <c r="E53" s="44">
        <f>SUM(F53:K53)</f>
        <v>76.680000000000007</v>
      </c>
      <c r="F53" s="218">
        <f>F52</f>
        <v>12.3</v>
      </c>
      <c r="G53" s="44">
        <f>G52</f>
        <v>16.71</v>
      </c>
      <c r="H53" s="165">
        <f>H52</f>
        <v>22.580000000000002</v>
      </c>
      <c r="I53" s="286">
        <f>I52</f>
        <v>8.49</v>
      </c>
      <c r="J53" s="284">
        <v>13.6</v>
      </c>
      <c r="K53" s="147">
        <v>3</v>
      </c>
      <c r="L53" s="147"/>
      <c r="M53" s="165"/>
      <c r="N53" s="204">
        <v>0</v>
      </c>
      <c r="O53" s="69"/>
      <c r="P53" s="37">
        <f>E53*N53</f>
        <v>0</v>
      </c>
      <c r="Q53" s="69"/>
    </row>
    <row r="54" spans="1:17" x14ac:dyDescent="0.25">
      <c r="A54" s="40" t="s">
        <v>65</v>
      </c>
      <c r="B54" s="41" t="s">
        <v>32</v>
      </c>
      <c r="C54" s="70" t="s">
        <v>73</v>
      </c>
      <c r="D54" s="260" t="s">
        <v>51</v>
      </c>
      <c r="E54" s="89">
        <f>SUM(F54:K54)</f>
        <v>15</v>
      </c>
      <c r="F54" s="252">
        <v>2</v>
      </c>
      <c r="G54" s="89">
        <v>3</v>
      </c>
      <c r="H54" s="173">
        <f>4+1</f>
        <v>5</v>
      </c>
      <c r="I54" s="297">
        <v>1</v>
      </c>
      <c r="J54" s="299">
        <v>3</v>
      </c>
      <c r="K54" s="150">
        <v>1</v>
      </c>
      <c r="L54" s="150"/>
      <c r="M54" s="173"/>
      <c r="N54" s="204">
        <v>0</v>
      </c>
      <c r="O54" s="69"/>
      <c r="P54" s="37">
        <f>E54*N54</f>
        <v>0</v>
      </c>
      <c r="Q54" s="69"/>
    </row>
    <row r="55" spans="1:17" x14ac:dyDescent="0.25">
      <c r="A55" s="32" t="s">
        <v>29</v>
      </c>
      <c r="B55" s="33" t="s">
        <v>18</v>
      </c>
      <c r="C55" s="88" t="s">
        <v>74</v>
      </c>
      <c r="D55" s="259" t="s">
        <v>51</v>
      </c>
      <c r="E55" s="35">
        <f>SUM(F55:L55)</f>
        <v>31</v>
      </c>
      <c r="F55" s="184">
        <v>13</v>
      </c>
      <c r="G55" s="141">
        <v>3</v>
      </c>
      <c r="H55" s="174">
        <v>5</v>
      </c>
      <c r="I55" s="298">
        <v>1</v>
      </c>
      <c r="J55" s="298">
        <v>3</v>
      </c>
      <c r="K55" s="151">
        <v>1</v>
      </c>
      <c r="L55" s="151">
        <v>5</v>
      </c>
      <c r="M55" s="174"/>
      <c r="N55" s="204"/>
      <c r="O55" s="38">
        <v>0</v>
      </c>
      <c r="P55" s="37"/>
      <c r="Q55" s="38">
        <f>E55*O55</f>
        <v>0</v>
      </c>
    </row>
    <row r="56" spans="1:17" x14ac:dyDescent="0.25">
      <c r="A56" s="32" t="s">
        <v>12</v>
      </c>
      <c r="B56" s="33" t="s">
        <v>18</v>
      </c>
      <c r="C56" s="88" t="s">
        <v>75</v>
      </c>
      <c r="D56" s="259" t="s">
        <v>51</v>
      </c>
      <c r="E56" s="35">
        <f>SUM(F56:L56)</f>
        <v>31</v>
      </c>
      <c r="F56" s="184">
        <v>13</v>
      </c>
      <c r="G56" s="141">
        <v>3</v>
      </c>
      <c r="H56" s="174">
        <v>5</v>
      </c>
      <c r="I56" s="298">
        <v>1</v>
      </c>
      <c r="J56" s="298">
        <v>3</v>
      </c>
      <c r="K56" s="151">
        <v>1</v>
      </c>
      <c r="L56" s="151">
        <v>5</v>
      </c>
      <c r="M56" s="174"/>
      <c r="N56" s="204"/>
      <c r="O56" s="38">
        <v>0</v>
      </c>
      <c r="P56" s="37"/>
      <c r="Q56" s="38">
        <f>E56*O56</f>
        <v>0</v>
      </c>
    </row>
    <row r="57" spans="1:17" x14ac:dyDescent="0.25">
      <c r="A57" s="40" t="s">
        <v>35</v>
      </c>
      <c r="B57" s="41" t="s">
        <v>32</v>
      </c>
      <c r="C57" s="70" t="s">
        <v>76</v>
      </c>
      <c r="D57" s="260" t="s">
        <v>51</v>
      </c>
      <c r="E57" s="43">
        <f>SUM(F57:L57)</f>
        <v>31</v>
      </c>
      <c r="F57" s="185">
        <v>13</v>
      </c>
      <c r="G57" s="142">
        <v>3</v>
      </c>
      <c r="H57" s="173">
        <v>5</v>
      </c>
      <c r="I57" s="299">
        <v>1</v>
      </c>
      <c r="J57" s="299">
        <v>3</v>
      </c>
      <c r="K57" s="150">
        <v>1</v>
      </c>
      <c r="L57" s="150">
        <v>5</v>
      </c>
      <c r="M57" s="173"/>
      <c r="N57" s="204">
        <v>0</v>
      </c>
      <c r="O57" s="69"/>
      <c r="P57" s="37">
        <f>E57*N57</f>
        <v>0</v>
      </c>
      <c r="Q57" s="69"/>
    </row>
    <row r="58" spans="1:17" ht="13.5" thickBot="1" x14ac:dyDescent="0.3">
      <c r="A58" s="90" t="s">
        <v>13</v>
      </c>
      <c r="B58" s="91" t="s">
        <v>18</v>
      </c>
      <c r="C58" s="92" t="s">
        <v>77</v>
      </c>
      <c r="D58" s="261" t="s">
        <v>51</v>
      </c>
      <c r="E58" s="93">
        <f>SUM(F58:L58)</f>
        <v>31</v>
      </c>
      <c r="F58" s="229">
        <v>13</v>
      </c>
      <c r="G58" s="230">
        <v>3</v>
      </c>
      <c r="H58" s="231">
        <v>5</v>
      </c>
      <c r="I58" s="300">
        <v>1</v>
      </c>
      <c r="J58" s="300">
        <v>3</v>
      </c>
      <c r="K58" s="232">
        <v>1</v>
      </c>
      <c r="L58" s="232">
        <v>5</v>
      </c>
      <c r="M58" s="231"/>
      <c r="N58" s="205"/>
      <c r="O58" s="51">
        <v>0</v>
      </c>
      <c r="P58" s="94"/>
      <c r="Q58" s="51">
        <f>E58*O58</f>
        <v>0</v>
      </c>
    </row>
    <row r="59" spans="1:17" ht="15" x14ac:dyDescent="0.25">
      <c r="A59" s="95"/>
      <c r="B59" s="96"/>
      <c r="C59" s="28" t="s">
        <v>40</v>
      </c>
      <c r="D59" s="52"/>
      <c r="E59" s="52"/>
      <c r="F59" s="194"/>
      <c r="G59" s="160"/>
      <c r="H59" s="167"/>
      <c r="I59" s="290"/>
      <c r="J59" s="290"/>
      <c r="K59" s="222"/>
      <c r="L59" s="222"/>
      <c r="M59" s="223"/>
      <c r="N59" s="206"/>
      <c r="O59" s="54"/>
      <c r="P59" s="55">
        <f>SUM(P46:P58)</f>
        <v>0</v>
      </c>
      <c r="Q59" s="53">
        <f>SUM(Q45:Q58)</f>
        <v>0</v>
      </c>
    </row>
    <row r="60" spans="1:17" ht="15.75" thickBot="1" x14ac:dyDescent="0.3">
      <c r="A60" s="97"/>
      <c r="B60" s="98"/>
      <c r="C60" s="58" t="s">
        <v>41</v>
      </c>
      <c r="D60" s="59"/>
      <c r="E60" s="59"/>
      <c r="F60" s="195"/>
      <c r="G60" s="161"/>
      <c r="H60" s="168"/>
      <c r="I60" s="291"/>
      <c r="J60" s="291"/>
      <c r="K60" s="225"/>
      <c r="L60" s="225"/>
      <c r="M60" s="226"/>
      <c r="N60" s="207"/>
      <c r="O60" s="61"/>
      <c r="P60" s="62"/>
      <c r="Q60" s="60">
        <f>P59+Q59</f>
        <v>0</v>
      </c>
    </row>
    <row r="61" spans="1:17" ht="22.5" customHeight="1" x14ac:dyDescent="0.25">
      <c r="A61" s="99"/>
      <c r="B61" s="100" t="s">
        <v>78</v>
      </c>
      <c r="C61" s="101" t="s">
        <v>79</v>
      </c>
      <c r="D61" s="100"/>
      <c r="E61" s="100"/>
      <c r="F61" s="196"/>
      <c r="G61" s="265"/>
      <c r="H61" s="265"/>
      <c r="I61" s="301"/>
      <c r="J61" s="301"/>
      <c r="K61" s="265"/>
      <c r="L61" s="265"/>
      <c r="M61" s="138"/>
      <c r="N61" s="208"/>
      <c r="O61" s="67"/>
      <c r="P61" s="66"/>
      <c r="Q61" s="67"/>
    </row>
    <row r="62" spans="1:17" s="102" customFormat="1" x14ac:dyDescent="0.2">
      <c r="A62" s="32" t="s">
        <v>44</v>
      </c>
      <c r="B62" s="33" t="s">
        <v>18</v>
      </c>
      <c r="C62" s="88" t="s">
        <v>80</v>
      </c>
      <c r="D62" s="35" t="s">
        <v>25</v>
      </c>
      <c r="E62" s="36">
        <f>SUM(F62:M62)</f>
        <v>38.53</v>
      </c>
      <c r="F62" s="209">
        <f>9.15+0.49+2.84</f>
        <v>12.48</v>
      </c>
      <c r="G62" s="146">
        <v>3.43</v>
      </c>
      <c r="H62" s="146">
        <f>6.55+2.08</f>
        <v>8.629999999999999</v>
      </c>
      <c r="I62" s="283">
        <f>2.7+0.49</f>
        <v>3.1900000000000004</v>
      </c>
      <c r="J62" s="283">
        <f>1.83+0.98</f>
        <v>2.81</v>
      </c>
      <c r="K62" s="146">
        <v>0.98</v>
      </c>
      <c r="L62" s="214">
        <v>4.9000000000000004</v>
      </c>
      <c r="M62" s="36">
        <v>2.11</v>
      </c>
      <c r="N62" s="209"/>
      <c r="O62" s="38">
        <v>0</v>
      </c>
      <c r="P62" s="68"/>
      <c r="Q62" s="38">
        <f>E62*O62</f>
        <v>0</v>
      </c>
    </row>
    <row r="63" spans="1:17" s="102" customFormat="1" ht="25.5" x14ac:dyDescent="0.2">
      <c r="A63" s="40" t="s">
        <v>47</v>
      </c>
      <c r="B63" s="41" t="s">
        <v>32</v>
      </c>
      <c r="C63" s="70" t="s">
        <v>81</v>
      </c>
      <c r="D63" s="43" t="s">
        <v>25</v>
      </c>
      <c r="E63" s="103">
        <f>SUM(F63:M63)</f>
        <v>48.162500000000009</v>
      </c>
      <c r="F63" s="204">
        <f t="shared" ref="F63:M63" si="4">1.25*F62</f>
        <v>15.600000000000001</v>
      </c>
      <c r="G63" s="247">
        <f t="shared" si="4"/>
        <v>4.2875000000000005</v>
      </c>
      <c r="H63" s="266">
        <f t="shared" si="4"/>
        <v>10.787499999999998</v>
      </c>
      <c r="I63" s="302">
        <f t="shared" si="4"/>
        <v>3.9875000000000007</v>
      </c>
      <c r="J63" s="302">
        <f t="shared" si="4"/>
        <v>3.5125000000000002</v>
      </c>
      <c r="K63" s="266">
        <f t="shared" si="4"/>
        <v>1.2250000000000001</v>
      </c>
      <c r="L63" s="266">
        <f t="shared" si="4"/>
        <v>6.125</v>
      </c>
      <c r="M63" s="103">
        <f t="shared" si="4"/>
        <v>2.6374999999999997</v>
      </c>
      <c r="N63" s="204">
        <v>0</v>
      </c>
      <c r="O63" s="69"/>
      <c r="P63" s="37">
        <f>E63*N63</f>
        <v>0</v>
      </c>
      <c r="Q63" s="69"/>
    </row>
    <row r="64" spans="1:17" s="102" customFormat="1" ht="25.5" x14ac:dyDescent="0.2">
      <c r="A64" s="32" t="s">
        <v>21</v>
      </c>
      <c r="B64" s="33" t="s">
        <v>18</v>
      </c>
      <c r="C64" s="88" t="s">
        <v>82</v>
      </c>
      <c r="D64" s="35" t="s">
        <v>51</v>
      </c>
      <c r="E64" s="35">
        <f>SUM(F64:M64)</f>
        <v>37</v>
      </c>
      <c r="F64" s="264">
        <v>6</v>
      </c>
      <c r="G64" s="35">
        <v>7</v>
      </c>
      <c r="H64" s="152">
        <v>6</v>
      </c>
      <c r="I64" s="303">
        <v>3</v>
      </c>
      <c r="J64" s="306">
        <v>4</v>
      </c>
      <c r="K64" s="152">
        <v>2</v>
      </c>
      <c r="L64" s="152">
        <v>9</v>
      </c>
      <c r="M64" s="141"/>
      <c r="N64" s="209"/>
      <c r="O64" s="38">
        <v>0</v>
      </c>
      <c r="P64" s="68"/>
      <c r="Q64" s="38">
        <f>E64*O64</f>
        <v>0</v>
      </c>
    </row>
    <row r="65" spans="1:17" s="102" customFormat="1" x14ac:dyDescent="0.2">
      <c r="A65" s="40" t="s">
        <v>53</v>
      </c>
      <c r="B65" s="41" t="s">
        <v>32</v>
      </c>
      <c r="C65" s="70" t="s">
        <v>83</v>
      </c>
      <c r="D65" s="43" t="s">
        <v>51</v>
      </c>
      <c r="E65" s="43">
        <f t="shared" ref="E65:E80" si="5">SUM(F65:M65)</f>
        <v>27</v>
      </c>
      <c r="F65" s="267">
        <f>3+1+1</f>
        <v>5</v>
      </c>
      <c r="G65" s="43">
        <v>5</v>
      </c>
      <c r="H65" s="176">
        <f>2+1</f>
        <v>3</v>
      </c>
      <c r="I65" s="304">
        <v>1</v>
      </c>
      <c r="J65" s="305">
        <v>4</v>
      </c>
      <c r="K65" s="153">
        <v>2</v>
      </c>
      <c r="L65" s="185">
        <v>7</v>
      </c>
      <c r="M65" s="176"/>
      <c r="N65" s="204">
        <v>0</v>
      </c>
      <c r="O65" s="69"/>
      <c r="P65" s="37">
        <f>E65*N65</f>
        <v>0</v>
      </c>
      <c r="Q65" s="69"/>
    </row>
    <row r="66" spans="1:17" s="102" customFormat="1" ht="25.5" x14ac:dyDescent="0.2">
      <c r="A66" s="40" t="s">
        <v>55</v>
      </c>
      <c r="B66" s="41" t="s">
        <v>32</v>
      </c>
      <c r="C66" s="70" t="s">
        <v>84</v>
      </c>
      <c r="D66" s="43" t="s">
        <v>51</v>
      </c>
      <c r="E66" s="43">
        <f t="shared" si="5"/>
        <v>10</v>
      </c>
      <c r="F66" s="267">
        <v>1</v>
      </c>
      <c r="G66" s="43">
        <v>2</v>
      </c>
      <c r="H66" s="176">
        <f>1+2</f>
        <v>3</v>
      </c>
      <c r="I66" s="304">
        <f>1+1</f>
        <v>2</v>
      </c>
      <c r="J66" s="305"/>
      <c r="K66" s="153"/>
      <c r="L66" s="153">
        <v>2</v>
      </c>
      <c r="M66" s="176"/>
      <c r="N66" s="204">
        <v>0</v>
      </c>
      <c r="O66" s="69"/>
      <c r="P66" s="37">
        <f t="shared" ref="P66:P80" si="6">E66*N66</f>
        <v>0</v>
      </c>
      <c r="Q66" s="69"/>
    </row>
    <row r="67" spans="1:17" s="102" customFormat="1" ht="25.5" x14ac:dyDescent="0.2">
      <c r="A67" s="40" t="s">
        <v>85</v>
      </c>
      <c r="B67" s="41" t="s">
        <v>32</v>
      </c>
      <c r="C67" s="70" t="s">
        <v>173</v>
      </c>
      <c r="D67" s="43" t="s">
        <v>51</v>
      </c>
      <c r="E67" s="43">
        <f t="shared" si="5"/>
        <v>2</v>
      </c>
      <c r="F67" s="267"/>
      <c r="G67" s="43"/>
      <c r="H67" s="176"/>
      <c r="I67" s="304">
        <f>1+1</f>
        <v>2</v>
      </c>
      <c r="J67" s="305"/>
      <c r="K67" s="153"/>
      <c r="L67" s="153"/>
      <c r="M67" s="176"/>
      <c r="N67" s="204">
        <v>0</v>
      </c>
      <c r="O67" s="69"/>
      <c r="P67" s="37">
        <f t="shared" si="6"/>
        <v>0</v>
      </c>
      <c r="Q67" s="69"/>
    </row>
    <row r="68" spans="1:17" s="102" customFormat="1" ht="25.5" x14ac:dyDescent="0.2">
      <c r="A68" s="40" t="s">
        <v>87</v>
      </c>
      <c r="B68" s="41" t="s">
        <v>32</v>
      </c>
      <c r="C68" s="70" t="s">
        <v>86</v>
      </c>
      <c r="D68" s="43" t="s">
        <v>51</v>
      </c>
      <c r="E68" s="43">
        <f t="shared" si="5"/>
        <v>33</v>
      </c>
      <c r="F68" s="267">
        <f>1+2</f>
        <v>3</v>
      </c>
      <c r="G68" s="43">
        <v>5</v>
      </c>
      <c r="H68" s="176">
        <f>5+2</f>
        <v>7</v>
      </c>
      <c r="I68" s="304">
        <v>2</v>
      </c>
      <c r="J68" s="318">
        <v>3</v>
      </c>
      <c r="K68" s="43">
        <v>2</v>
      </c>
      <c r="L68" s="43">
        <v>11</v>
      </c>
      <c r="M68" s="176"/>
      <c r="N68" s="204">
        <v>0</v>
      </c>
      <c r="O68" s="69"/>
      <c r="P68" s="37">
        <f t="shared" si="6"/>
        <v>0</v>
      </c>
      <c r="Q68" s="69"/>
    </row>
    <row r="69" spans="1:17" s="102" customFormat="1" ht="25.5" x14ac:dyDescent="0.2">
      <c r="A69" s="40" t="s">
        <v>89</v>
      </c>
      <c r="B69" s="41" t="s">
        <v>32</v>
      </c>
      <c r="C69" s="70" t="s">
        <v>88</v>
      </c>
      <c r="D69" s="43" t="s">
        <v>51</v>
      </c>
      <c r="E69" s="43">
        <f t="shared" si="5"/>
        <v>32</v>
      </c>
      <c r="F69" s="267">
        <f>6+2+2</f>
        <v>10</v>
      </c>
      <c r="G69" s="43">
        <v>8</v>
      </c>
      <c r="H69" s="176">
        <v>4</v>
      </c>
      <c r="I69" s="304">
        <v>1</v>
      </c>
      <c r="J69" s="318">
        <f>1+4</f>
        <v>5</v>
      </c>
      <c r="K69" s="43">
        <v>1</v>
      </c>
      <c r="L69" s="43">
        <v>3</v>
      </c>
      <c r="M69" s="176"/>
      <c r="N69" s="204">
        <v>0</v>
      </c>
      <c r="O69" s="69"/>
      <c r="P69" s="37">
        <f t="shared" si="6"/>
        <v>0</v>
      </c>
      <c r="Q69" s="69"/>
    </row>
    <row r="70" spans="1:17" s="102" customFormat="1" ht="25.5" x14ac:dyDescent="0.2">
      <c r="A70" s="40" t="s">
        <v>91</v>
      </c>
      <c r="B70" s="41" t="s">
        <v>32</v>
      </c>
      <c r="C70" s="70" t="s">
        <v>90</v>
      </c>
      <c r="D70" s="43" t="s">
        <v>51</v>
      </c>
      <c r="E70" s="43">
        <f t="shared" si="5"/>
        <v>33</v>
      </c>
      <c r="F70" s="267">
        <f>3+1+2</f>
        <v>6</v>
      </c>
      <c r="G70" s="43">
        <v>7</v>
      </c>
      <c r="H70" s="176">
        <f>3+3</f>
        <v>6</v>
      </c>
      <c r="I70" s="304">
        <f>2+1</f>
        <v>3</v>
      </c>
      <c r="J70" s="318">
        <f>2+2</f>
        <v>4</v>
      </c>
      <c r="K70" s="43">
        <v>2</v>
      </c>
      <c r="L70" s="43">
        <v>5</v>
      </c>
      <c r="M70" s="176"/>
      <c r="N70" s="204">
        <v>0</v>
      </c>
      <c r="O70" s="69"/>
      <c r="P70" s="37">
        <f t="shared" si="6"/>
        <v>0</v>
      </c>
      <c r="Q70" s="69"/>
    </row>
    <row r="71" spans="1:17" s="102" customFormat="1" ht="25.5" x14ac:dyDescent="0.2">
      <c r="A71" s="40" t="s">
        <v>93</v>
      </c>
      <c r="B71" s="41" t="s">
        <v>32</v>
      </c>
      <c r="C71" s="70" t="s">
        <v>92</v>
      </c>
      <c r="D71" s="43" t="s">
        <v>51</v>
      </c>
      <c r="E71" s="43">
        <f t="shared" si="5"/>
        <v>22</v>
      </c>
      <c r="F71" s="267">
        <f>1+1+2</f>
        <v>4</v>
      </c>
      <c r="G71" s="43">
        <v>2</v>
      </c>
      <c r="H71" s="176">
        <f>2+1</f>
        <v>3</v>
      </c>
      <c r="I71" s="304">
        <v>1</v>
      </c>
      <c r="J71" s="318">
        <f>1+1</f>
        <v>2</v>
      </c>
      <c r="K71" s="43">
        <v>1</v>
      </c>
      <c r="L71" s="43">
        <v>9</v>
      </c>
      <c r="M71" s="176"/>
      <c r="N71" s="204">
        <v>0</v>
      </c>
      <c r="O71" s="69"/>
      <c r="P71" s="37">
        <f t="shared" si="6"/>
        <v>0</v>
      </c>
      <c r="Q71" s="69"/>
    </row>
    <row r="72" spans="1:17" s="102" customFormat="1" x14ac:dyDescent="0.2">
      <c r="A72" s="40" t="s">
        <v>95</v>
      </c>
      <c r="B72" s="41" t="s">
        <v>32</v>
      </c>
      <c r="C72" s="70" t="s">
        <v>138</v>
      </c>
      <c r="D72" s="43" t="s">
        <v>51</v>
      </c>
      <c r="E72" s="43">
        <f t="shared" si="5"/>
        <v>1</v>
      </c>
      <c r="F72" s="267"/>
      <c r="G72" s="43"/>
      <c r="H72" s="176"/>
      <c r="I72" s="304"/>
      <c r="J72" s="319"/>
      <c r="K72" s="142">
        <v>1</v>
      </c>
      <c r="L72" s="153"/>
      <c r="M72" s="176"/>
      <c r="N72" s="204">
        <v>0</v>
      </c>
      <c r="O72" s="69"/>
      <c r="P72" s="37">
        <f t="shared" si="6"/>
        <v>0</v>
      </c>
      <c r="Q72" s="69"/>
    </row>
    <row r="73" spans="1:17" s="102" customFormat="1" x14ac:dyDescent="0.2">
      <c r="A73" s="40" t="s">
        <v>97</v>
      </c>
      <c r="B73" s="41" t="s">
        <v>32</v>
      </c>
      <c r="C73" s="70" t="s">
        <v>175</v>
      </c>
      <c r="D73" s="43" t="s">
        <v>51</v>
      </c>
      <c r="E73" s="43">
        <f t="shared" si="5"/>
        <v>2</v>
      </c>
      <c r="F73" s="267"/>
      <c r="G73" s="43"/>
      <c r="H73" s="176"/>
      <c r="I73" s="304"/>
      <c r="J73" s="319"/>
      <c r="K73" s="142"/>
      <c r="L73" s="153">
        <v>2</v>
      </c>
      <c r="M73" s="176"/>
      <c r="N73" s="204">
        <v>0</v>
      </c>
      <c r="O73" s="69"/>
      <c r="P73" s="37">
        <f t="shared" si="6"/>
        <v>0</v>
      </c>
      <c r="Q73" s="69"/>
    </row>
    <row r="74" spans="1:17" s="102" customFormat="1" x14ac:dyDescent="0.2">
      <c r="A74" s="40" t="s">
        <v>99</v>
      </c>
      <c r="B74" s="41" t="s">
        <v>32</v>
      </c>
      <c r="C74" s="70" t="s">
        <v>94</v>
      </c>
      <c r="D74" s="43" t="s">
        <v>51</v>
      </c>
      <c r="E74" s="43">
        <f t="shared" si="5"/>
        <v>11</v>
      </c>
      <c r="F74" s="267"/>
      <c r="G74" s="43">
        <v>1</v>
      </c>
      <c r="H74" s="176">
        <f>2+1</f>
        <v>3</v>
      </c>
      <c r="I74" s="304">
        <v>2</v>
      </c>
      <c r="J74" s="305">
        <v>1</v>
      </c>
      <c r="K74" s="153"/>
      <c r="L74" s="153">
        <v>4</v>
      </c>
      <c r="M74" s="176"/>
      <c r="N74" s="204">
        <v>0</v>
      </c>
      <c r="O74" s="69"/>
      <c r="P74" s="37">
        <f t="shared" si="6"/>
        <v>0</v>
      </c>
      <c r="Q74" s="69"/>
    </row>
    <row r="75" spans="1:17" s="102" customFormat="1" x14ac:dyDescent="0.2">
      <c r="A75" s="40" t="s">
        <v>165</v>
      </c>
      <c r="B75" s="41" t="s">
        <v>32</v>
      </c>
      <c r="C75" s="70" t="s">
        <v>96</v>
      </c>
      <c r="D75" s="43" t="s">
        <v>51</v>
      </c>
      <c r="E75" s="43">
        <f t="shared" si="5"/>
        <v>9</v>
      </c>
      <c r="F75" s="267">
        <v>1</v>
      </c>
      <c r="G75" s="43">
        <v>2</v>
      </c>
      <c r="H75" s="176">
        <v>1</v>
      </c>
      <c r="I75" s="304"/>
      <c r="J75" s="305">
        <v>1</v>
      </c>
      <c r="K75" s="153">
        <v>1</v>
      </c>
      <c r="L75" s="153">
        <v>3</v>
      </c>
      <c r="M75" s="176"/>
      <c r="N75" s="204">
        <v>0</v>
      </c>
      <c r="O75" s="69"/>
      <c r="P75" s="37">
        <f t="shared" si="6"/>
        <v>0</v>
      </c>
      <c r="Q75" s="69"/>
    </row>
    <row r="76" spans="1:17" s="102" customFormat="1" x14ac:dyDescent="0.2">
      <c r="A76" s="40" t="s">
        <v>166</v>
      </c>
      <c r="B76" s="41" t="s">
        <v>32</v>
      </c>
      <c r="C76" s="70" t="s">
        <v>164</v>
      </c>
      <c r="D76" s="43" t="s">
        <v>51</v>
      </c>
      <c r="E76" s="43">
        <f t="shared" si="5"/>
        <v>7</v>
      </c>
      <c r="F76" s="267">
        <v>3</v>
      </c>
      <c r="G76" s="43">
        <v>2</v>
      </c>
      <c r="H76" s="176"/>
      <c r="I76" s="304"/>
      <c r="J76" s="305">
        <v>2</v>
      </c>
      <c r="K76" s="153"/>
      <c r="L76" s="153"/>
      <c r="M76" s="176"/>
      <c r="N76" s="204">
        <v>0</v>
      </c>
      <c r="O76" s="69"/>
      <c r="P76" s="37">
        <f t="shared" si="6"/>
        <v>0</v>
      </c>
      <c r="Q76" s="69"/>
    </row>
    <row r="77" spans="1:17" s="102" customFormat="1" x14ac:dyDescent="0.2">
      <c r="A77" s="40" t="s">
        <v>176</v>
      </c>
      <c r="B77" s="41" t="s">
        <v>32</v>
      </c>
      <c r="C77" s="70" t="s">
        <v>174</v>
      </c>
      <c r="D77" s="43" t="s">
        <v>51</v>
      </c>
      <c r="E77" s="43">
        <f t="shared" si="5"/>
        <v>1</v>
      </c>
      <c r="F77" s="267"/>
      <c r="G77" s="142"/>
      <c r="H77" s="176"/>
      <c r="I77" s="304">
        <v>1</v>
      </c>
      <c r="J77" s="305"/>
      <c r="K77" s="153"/>
      <c r="L77" s="153"/>
      <c r="M77" s="176"/>
      <c r="N77" s="204">
        <v>0</v>
      </c>
      <c r="O77" s="69"/>
      <c r="P77" s="37">
        <f t="shared" si="6"/>
        <v>0</v>
      </c>
      <c r="Q77" s="69"/>
    </row>
    <row r="78" spans="1:17" s="102" customFormat="1" x14ac:dyDescent="0.2">
      <c r="A78" s="40" t="s">
        <v>177</v>
      </c>
      <c r="B78" s="41" t="s">
        <v>32</v>
      </c>
      <c r="C78" s="70" t="s">
        <v>112</v>
      </c>
      <c r="D78" s="43" t="s">
        <v>51</v>
      </c>
      <c r="E78" s="43">
        <f t="shared" si="5"/>
        <v>2</v>
      </c>
      <c r="F78" s="267">
        <v>2</v>
      </c>
      <c r="G78" s="142"/>
      <c r="H78" s="176"/>
      <c r="I78" s="304"/>
      <c r="J78" s="305"/>
      <c r="K78" s="153"/>
      <c r="L78" s="153"/>
      <c r="M78" s="176"/>
      <c r="N78" s="204">
        <v>0</v>
      </c>
      <c r="O78" s="69"/>
      <c r="P78" s="37">
        <f t="shared" si="6"/>
        <v>0</v>
      </c>
      <c r="Q78" s="69"/>
    </row>
    <row r="79" spans="1:17" s="102" customFormat="1" x14ac:dyDescent="0.2">
      <c r="A79" s="40" t="s">
        <v>178</v>
      </c>
      <c r="B79" s="41" t="s">
        <v>32</v>
      </c>
      <c r="C79" s="70" t="s">
        <v>98</v>
      </c>
      <c r="D79" s="43" t="s">
        <v>51</v>
      </c>
      <c r="E79" s="43">
        <f t="shared" si="5"/>
        <v>2</v>
      </c>
      <c r="F79" s="267"/>
      <c r="G79" s="142"/>
      <c r="H79" s="176">
        <v>2</v>
      </c>
      <c r="I79" s="304"/>
      <c r="J79" s="305"/>
      <c r="K79" s="153"/>
      <c r="L79" s="153"/>
      <c r="M79" s="176"/>
      <c r="N79" s="204">
        <v>0</v>
      </c>
      <c r="O79" s="69"/>
      <c r="P79" s="37">
        <f t="shared" si="6"/>
        <v>0</v>
      </c>
      <c r="Q79" s="69"/>
    </row>
    <row r="80" spans="1:17" s="102" customFormat="1" x14ac:dyDescent="0.2">
      <c r="A80" s="40" t="s">
        <v>179</v>
      </c>
      <c r="B80" s="41" t="s">
        <v>32</v>
      </c>
      <c r="C80" s="70" t="s">
        <v>100</v>
      </c>
      <c r="D80" s="43" t="s">
        <v>51</v>
      </c>
      <c r="E80" s="43">
        <f t="shared" si="5"/>
        <v>89</v>
      </c>
      <c r="F80" s="267">
        <f>7+3+6</f>
        <v>16</v>
      </c>
      <c r="G80" s="142">
        <v>14</v>
      </c>
      <c r="H80" s="176">
        <f>8+7</f>
        <v>15</v>
      </c>
      <c r="I80" s="305">
        <v>7</v>
      </c>
      <c r="J80" s="305">
        <v>10</v>
      </c>
      <c r="K80" s="153">
        <v>5</v>
      </c>
      <c r="L80" s="153">
        <v>22</v>
      </c>
      <c r="M80" s="176"/>
      <c r="N80" s="204">
        <v>0</v>
      </c>
      <c r="O80" s="69"/>
      <c r="P80" s="37">
        <f t="shared" si="6"/>
        <v>0</v>
      </c>
      <c r="Q80" s="69"/>
    </row>
    <row r="81" spans="1:17" s="102" customFormat="1" ht="25.5" x14ac:dyDescent="0.2">
      <c r="A81" s="32" t="s">
        <v>23</v>
      </c>
      <c r="B81" s="33" t="s">
        <v>18</v>
      </c>
      <c r="C81" s="88" t="s">
        <v>101</v>
      </c>
      <c r="D81" s="35" t="s">
        <v>51</v>
      </c>
      <c r="E81" s="35">
        <f>SUM(F81:M81)</f>
        <v>26</v>
      </c>
      <c r="F81" s="184">
        <v>11</v>
      </c>
      <c r="G81" s="35"/>
      <c r="H81" s="175">
        <v>10</v>
      </c>
      <c r="I81" s="259">
        <v>2</v>
      </c>
      <c r="J81" s="306">
        <v>1</v>
      </c>
      <c r="K81" s="152"/>
      <c r="L81" s="152"/>
      <c r="M81" s="175">
        <v>2</v>
      </c>
      <c r="N81" s="209"/>
      <c r="O81" s="38">
        <v>0</v>
      </c>
      <c r="P81" s="68"/>
      <c r="Q81" s="38">
        <f>E81*O81</f>
        <v>0</v>
      </c>
    </row>
    <row r="82" spans="1:17" s="102" customFormat="1" x14ac:dyDescent="0.2">
      <c r="A82" s="40" t="s">
        <v>58</v>
      </c>
      <c r="B82" s="41" t="s">
        <v>32</v>
      </c>
      <c r="C82" s="70" t="s">
        <v>102</v>
      </c>
      <c r="D82" s="43" t="s">
        <v>51</v>
      </c>
      <c r="E82" s="43">
        <f t="shared" ref="E82:E94" si="7">SUM(F82:M82)</f>
        <v>14</v>
      </c>
      <c r="F82" s="185">
        <v>11</v>
      </c>
      <c r="G82" s="43"/>
      <c r="H82" s="176">
        <v>1</v>
      </c>
      <c r="I82" s="260">
        <v>1</v>
      </c>
      <c r="J82" s="305">
        <v>1</v>
      </c>
      <c r="K82" s="153"/>
      <c r="L82" s="153"/>
      <c r="M82" s="176"/>
      <c r="N82" s="204">
        <v>0</v>
      </c>
      <c r="O82" s="69"/>
      <c r="P82" s="37">
        <f>E82*N82</f>
        <v>0</v>
      </c>
      <c r="Q82" s="69"/>
    </row>
    <row r="83" spans="1:17" s="102" customFormat="1" ht="25.5" x14ac:dyDescent="0.2">
      <c r="A83" s="40" t="s">
        <v>60</v>
      </c>
      <c r="B83" s="41" t="s">
        <v>32</v>
      </c>
      <c r="C83" s="70" t="s">
        <v>103</v>
      </c>
      <c r="D83" s="43" t="s">
        <v>51</v>
      </c>
      <c r="E83" s="43">
        <f t="shared" si="7"/>
        <v>12</v>
      </c>
      <c r="F83" s="185"/>
      <c r="G83" s="43"/>
      <c r="H83" s="176">
        <f>8+1</f>
        <v>9</v>
      </c>
      <c r="I83" s="260">
        <v>1</v>
      </c>
      <c r="J83" s="305"/>
      <c r="K83" s="153"/>
      <c r="L83" s="153"/>
      <c r="M83" s="176">
        <v>2</v>
      </c>
      <c r="N83" s="204">
        <v>0</v>
      </c>
      <c r="O83" s="69"/>
      <c r="P83" s="37">
        <f t="shared" ref="P83:P94" si="8">E83*N83</f>
        <v>0</v>
      </c>
      <c r="Q83" s="69"/>
    </row>
    <row r="84" spans="1:17" s="102" customFormat="1" ht="25.5" x14ac:dyDescent="0.2">
      <c r="A84" s="40" t="s">
        <v>104</v>
      </c>
      <c r="B84" s="41" t="s">
        <v>32</v>
      </c>
      <c r="C84" s="70" t="s">
        <v>105</v>
      </c>
      <c r="D84" s="43" t="s">
        <v>51</v>
      </c>
      <c r="E84" s="43">
        <f t="shared" si="7"/>
        <v>46</v>
      </c>
      <c r="F84" s="320">
        <f>14+2</f>
        <v>16</v>
      </c>
      <c r="G84" s="43"/>
      <c r="H84" s="176">
        <v>19</v>
      </c>
      <c r="I84" s="260">
        <v>2</v>
      </c>
      <c r="J84" s="305">
        <v>1</v>
      </c>
      <c r="K84" s="153"/>
      <c r="L84" s="153"/>
      <c r="M84" s="43">
        <v>8</v>
      </c>
      <c r="N84" s="204">
        <v>0</v>
      </c>
      <c r="O84" s="69"/>
      <c r="P84" s="37">
        <f t="shared" si="8"/>
        <v>0</v>
      </c>
      <c r="Q84" s="69"/>
    </row>
    <row r="85" spans="1:17" s="102" customFormat="1" ht="25.5" x14ac:dyDescent="0.2">
      <c r="A85" s="40" t="s">
        <v>106</v>
      </c>
      <c r="B85" s="41" t="s">
        <v>32</v>
      </c>
      <c r="C85" s="70" t="s">
        <v>107</v>
      </c>
      <c r="D85" s="43" t="s">
        <v>51</v>
      </c>
      <c r="E85" s="43">
        <f t="shared" si="7"/>
        <v>32</v>
      </c>
      <c r="F85" s="320">
        <f>13+4</f>
        <v>17</v>
      </c>
      <c r="G85" s="43"/>
      <c r="H85" s="176">
        <f>9+2</f>
        <v>11</v>
      </c>
      <c r="I85" s="260">
        <v>3</v>
      </c>
      <c r="J85" s="305">
        <v>1</v>
      </c>
      <c r="K85" s="153"/>
      <c r="L85" s="153"/>
      <c r="M85" s="43"/>
      <c r="N85" s="204">
        <v>0</v>
      </c>
      <c r="O85" s="69"/>
      <c r="P85" s="37">
        <f t="shared" si="8"/>
        <v>0</v>
      </c>
      <c r="Q85" s="69"/>
    </row>
    <row r="86" spans="1:17" s="102" customFormat="1" ht="25.5" x14ac:dyDescent="0.2">
      <c r="A86" s="40" t="s">
        <v>108</v>
      </c>
      <c r="B86" s="41" t="s">
        <v>32</v>
      </c>
      <c r="C86" s="70" t="s">
        <v>109</v>
      </c>
      <c r="D86" s="43" t="s">
        <v>51</v>
      </c>
      <c r="E86" s="43">
        <f t="shared" si="7"/>
        <v>26</v>
      </c>
      <c r="F86" s="320">
        <f>9+2</f>
        <v>11</v>
      </c>
      <c r="G86" s="43"/>
      <c r="H86" s="176">
        <f>9+1</f>
        <v>10</v>
      </c>
      <c r="I86" s="260">
        <v>2</v>
      </c>
      <c r="J86" s="305">
        <v>1</v>
      </c>
      <c r="K86" s="153"/>
      <c r="L86" s="153"/>
      <c r="M86" s="43">
        <v>2</v>
      </c>
      <c r="N86" s="204">
        <v>0</v>
      </c>
      <c r="O86" s="69"/>
      <c r="P86" s="37">
        <f t="shared" si="8"/>
        <v>0</v>
      </c>
      <c r="Q86" s="69"/>
    </row>
    <row r="87" spans="1:17" s="102" customFormat="1" ht="25.5" x14ac:dyDescent="0.2">
      <c r="A87" s="40" t="s">
        <v>110</v>
      </c>
      <c r="B87" s="41" t="s">
        <v>32</v>
      </c>
      <c r="C87" s="70" t="s">
        <v>92</v>
      </c>
      <c r="D87" s="43" t="s">
        <v>51</v>
      </c>
      <c r="E87" s="43">
        <f t="shared" si="7"/>
        <v>9</v>
      </c>
      <c r="F87" s="320">
        <f>2+2</f>
        <v>4</v>
      </c>
      <c r="G87" s="43"/>
      <c r="H87" s="176">
        <f>2+1</f>
        <v>3</v>
      </c>
      <c r="I87" s="305"/>
      <c r="J87" s="305">
        <v>1</v>
      </c>
      <c r="K87" s="153"/>
      <c r="L87" s="153"/>
      <c r="M87" s="176">
        <v>1</v>
      </c>
      <c r="N87" s="204">
        <v>0</v>
      </c>
      <c r="O87" s="69"/>
      <c r="P87" s="37">
        <f t="shared" si="8"/>
        <v>0</v>
      </c>
      <c r="Q87" s="69"/>
    </row>
    <row r="88" spans="1:17" s="102" customFormat="1" x14ac:dyDescent="0.2">
      <c r="A88" s="40"/>
      <c r="B88" s="41"/>
      <c r="C88" s="70" t="s">
        <v>96</v>
      </c>
      <c r="D88" s="43"/>
      <c r="E88" s="43">
        <f t="shared" si="7"/>
        <v>1</v>
      </c>
      <c r="F88" s="142"/>
      <c r="G88" s="142"/>
      <c r="H88" s="176"/>
      <c r="I88" s="305"/>
      <c r="J88" s="305">
        <v>1</v>
      </c>
      <c r="K88" s="153"/>
      <c r="L88" s="153"/>
      <c r="M88" s="176"/>
      <c r="N88" s="204">
        <v>0</v>
      </c>
      <c r="O88" s="69"/>
      <c r="P88" s="37">
        <f t="shared" si="8"/>
        <v>0</v>
      </c>
      <c r="Q88" s="69"/>
    </row>
    <row r="89" spans="1:17" s="102" customFormat="1" x14ac:dyDescent="0.2">
      <c r="A89" s="40"/>
      <c r="B89" s="236" t="s">
        <v>32</v>
      </c>
      <c r="C89" s="321" t="s">
        <v>180</v>
      </c>
      <c r="D89" s="320" t="s">
        <v>51</v>
      </c>
      <c r="E89" s="43">
        <f t="shared" si="7"/>
        <v>6</v>
      </c>
      <c r="F89" s="142">
        <v>5</v>
      </c>
      <c r="G89" s="142"/>
      <c r="H89" s="176"/>
      <c r="I89" s="305">
        <v>1</v>
      </c>
      <c r="J89" s="305"/>
      <c r="K89" s="153"/>
      <c r="L89" s="153"/>
      <c r="M89" s="176"/>
      <c r="N89" s="204">
        <v>0</v>
      </c>
      <c r="O89" s="69"/>
      <c r="P89" s="37">
        <f t="shared" si="8"/>
        <v>0</v>
      </c>
      <c r="Q89" s="69"/>
    </row>
    <row r="90" spans="1:17" s="102" customFormat="1" x14ac:dyDescent="0.2">
      <c r="A90" s="40" t="s">
        <v>111</v>
      </c>
      <c r="B90" s="41" t="s">
        <v>32</v>
      </c>
      <c r="C90" s="70" t="s">
        <v>112</v>
      </c>
      <c r="D90" s="43" t="s">
        <v>51</v>
      </c>
      <c r="E90" s="43">
        <f t="shared" si="7"/>
        <v>7</v>
      </c>
      <c r="F90" s="185">
        <v>6</v>
      </c>
      <c r="G90" s="142"/>
      <c r="H90" s="176">
        <v>1</v>
      </c>
      <c r="I90" s="305"/>
      <c r="J90" s="305"/>
      <c r="K90" s="153"/>
      <c r="L90" s="153"/>
      <c r="M90" s="176"/>
      <c r="N90" s="204">
        <v>0</v>
      </c>
      <c r="O90" s="69"/>
      <c r="P90" s="37">
        <f t="shared" si="8"/>
        <v>0</v>
      </c>
      <c r="Q90" s="69"/>
    </row>
    <row r="91" spans="1:17" s="102" customFormat="1" x14ac:dyDescent="0.2">
      <c r="A91" s="40" t="s">
        <v>113</v>
      </c>
      <c r="B91" s="41" t="s">
        <v>32</v>
      </c>
      <c r="C91" s="70" t="s">
        <v>98</v>
      </c>
      <c r="D91" s="43" t="s">
        <v>51</v>
      </c>
      <c r="E91" s="43">
        <f t="shared" si="7"/>
        <v>2</v>
      </c>
      <c r="F91" s="185"/>
      <c r="G91" s="142"/>
      <c r="H91" s="176">
        <v>1</v>
      </c>
      <c r="I91" s="305">
        <v>1</v>
      </c>
      <c r="J91" s="305"/>
      <c r="K91" s="153"/>
      <c r="L91" s="153"/>
      <c r="M91" s="176"/>
      <c r="N91" s="204">
        <v>0</v>
      </c>
      <c r="O91" s="69"/>
      <c r="P91" s="37">
        <f t="shared" si="8"/>
        <v>0</v>
      </c>
      <c r="Q91" s="69"/>
    </row>
    <row r="92" spans="1:17" s="102" customFormat="1" x14ac:dyDescent="0.2">
      <c r="A92" s="40" t="s">
        <v>114</v>
      </c>
      <c r="B92" s="41" t="s">
        <v>32</v>
      </c>
      <c r="C92" s="70" t="s">
        <v>115</v>
      </c>
      <c r="D92" s="43" t="s">
        <v>51</v>
      </c>
      <c r="E92" s="43">
        <f t="shared" si="7"/>
        <v>7</v>
      </c>
      <c r="F92" s="185"/>
      <c r="G92" s="142"/>
      <c r="H92" s="176">
        <v>7</v>
      </c>
      <c r="I92" s="305"/>
      <c r="J92" s="305"/>
      <c r="K92" s="153"/>
      <c r="L92" s="153"/>
      <c r="M92" s="176"/>
      <c r="N92" s="204">
        <v>0</v>
      </c>
      <c r="O92" s="69"/>
      <c r="P92" s="37">
        <f t="shared" si="8"/>
        <v>0</v>
      </c>
      <c r="Q92" s="69"/>
    </row>
    <row r="93" spans="1:17" s="102" customFormat="1" x14ac:dyDescent="0.2">
      <c r="A93" s="40" t="s">
        <v>116</v>
      </c>
      <c r="B93" s="41" t="s">
        <v>32</v>
      </c>
      <c r="C93" s="70" t="s">
        <v>117</v>
      </c>
      <c r="D93" s="43" t="s">
        <v>51</v>
      </c>
      <c r="E93" s="43">
        <f t="shared" si="7"/>
        <v>3</v>
      </c>
      <c r="F93" s="185"/>
      <c r="G93" s="142"/>
      <c r="H93" s="176">
        <v>1</v>
      </c>
      <c r="I93" s="305"/>
      <c r="J93" s="305"/>
      <c r="K93" s="153"/>
      <c r="L93" s="153"/>
      <c r="M93" s="176">
        <v>2</v>
      </c>
      <c r="N93" s="204">
        <v>0</v>
      </c>
      <c r="O93" s="69"/>
      <c r="P93" s="37">
        <f t="shared" si="8"/>
        <v>0</v>
      </c>
      <c r="Q93" s="69"/>
    </row>
    <row r="94" spans="1:17" s="102" customFormat="1" x14ac:dyDescent="0.2">
      <c r="A94" s="40" t="s">
        <v>118</v>
      </c>
      <c r="B94" s="41" t="s">
        <v>32</v>
      </c>
      <c r="C94" s="70" t="s">
        <v>100</v>
      </c>
      <c r="D94" s="43" t="s">
        <v>51</v>
      </c>
      <c r="E94" s="43">
        <f t="shared" si="7"/>
        <v>55</v>
      </c>
      <c r="F94" s="185">
        <v>26</v>
      </c>
      <c r="G94" s="142"/>
      <c r="H94" s="176">
        <f>14+1</f>
        <v>15</v>
      </c>
      <c r="I94" s="305">
        <v>5</v>
      </c>
      <c r="J94" s="305">
        <v>3</v>
      </c>
      <c r="K94" s="153"/>
      <c r="L94" s="153"/>
      <c r="M94" s="176">
        <v>6</v>
      </c>
      <c r="N94" s="204">
        <v>0</v>
      </c>
      <c r="O94" s="69"/>
      <c r="P94" s="37">
        <f t="shared" si="8"/>
        <v>0</v>
      </c>
      <c r="Q94" s="69"/>
    </row>
    <row r="95" spans="1:17" s="102" customFormat="1" x14ac:dyDescent="0.2">
      <c r="A95" s="32" t="s">
        <v>26</v>
      </c>
      <c r="B95" s="33" t="s">
        <v>18</v>
      </c>
      <c r="C95" s="270" t="s">
        <v>168</v>
      </c>
      <c r="D95" s="152" t="s">
        <v>51</v>
      </c>
      <c r="E95" s="43">
        <f>H95</f>
        <v>1</v>
      </c>
      <c r="F95" s="185"/>
      <c r="G95" s="142"/>
      <c r="H95" s="272">
        <v>1</v>
      </c>
      <c r="I95" s="305"/>
      <c r="J95" s="305"/>
      <c r="K95" s="153"/>
      <c r="L95" s="153"/>
      <c r="M95" s="176"/>
      <c r="N95" s="204"/>
      <c r="O95" s="38">
        <v>0</v>
      </c>
      <c r="P95" s="68"/>
      <c r="Q95" s="38">
        <f>E95*O95</f>
        <v>0</v>
      </c>
    </row>
    <row r="96" spans="1:17" s="102" customFormat="1" ht="25.5" x14ac:dyDescent="0.2">
      <c r="A96" s="40" t="s">
        <v>63</v>
      </c>
      <c r="B96" s="41" t="s">
        <v>32</v>
      </c>
      <c r="C96" s="271" t="s">
        <v>169</v>
      </c>
      <c r="D96" s="153" t="s">
        <v>51</v>
      </c>
      <c r="E96" s="43">
        <f>H96</f>
        <v>1</v>
      </c>
      <c r="F96" s="185"/>
      <c r="G96" s="142"/>
      <c r="H96" s="273">
        <v>1</v>
      </c>
      <c r="I96" s="305"/>
      <c r="J96" s="305"/>
      <c r="K96" s="153"/>
      <c r="L96" s="153"/>
      <c r="M96" s="176"/>
      <c r="N96" s="204">
        <v>0</v>
      </c>
      <c r="O96" s="69"/>
      <c r="P96" s="37">
        <f>E96*N96</f>
        <v>0</v>
      </c>
      <c r="Q96" s="69"/>
    </row>
    <row r="97" spans="1:17" s="102" customFormat="1" x14ac:dyDescent="0.2">
      <c r="A97" s="40" t="s">
        <v>65</v>
      </c>
      <c r="B97" s="41" t="s">
        <v>32</v>
      </c>
      <c r="C97" s="271" t="s">
        <v>170</v>
      </c>
      <c r="D97" s="153" t="s">
        <v>51</v>
      </c>
      <c r="E97" s="43">
        <f>H97</f>
        <v>2</v>
      </c>
      <c r="F97" s="185"/>
      <c r="G97" s="142"/>
      <c r="H97" s="273">
        <v>2</v>
      </c>
      <c r="I97" s="305"/>
      <c r="J97" s="305"/>
      <c r="K97" s="153"/>
      <c r="L97" s="153"/>
      <c r="M97" s="176"/>
      <c r="N97" s="204">
        <v>0</v>
      </c>
      <c r="O97" s="69"/>
      <c r="P97" s="37">
        <f t="shared" ref="P97:P98" si="9">E97*N97</f>
        <v>0</v>
      </c>
      <c r="Q97" s="69"/>
    </row>
    <row r="98" spans="1:17" s="102" customFormat="1" x14ac:dyDescent="0.2">
      <c r="A98" s="40" t="s">
        <v>172</v>
      </c>
      <c r="B98" s="41" t="s">
        <v>32</v>
      </c>
      <c r="C98" s="271" t="s">
        <v>171</v>
      </c>
      <c r="D98" s="153" t="s">
        <v>51</v>
      </c>
      <c r="E98" s="43">
        <f>H98</f>
        <v>2</v>
      </c>
      <c r="F98" s="185"/>
      <c r="G98" s="142"/>
      <c r="H98" s="273">
        <v>2</v>
      </c>
      <c r="I98" s="305"/>
      <c r="J98" s="305"/>
      <c r="K98" s="153"/>
      <c r="L98" s="153"/>
      <c r="M98" s="176"/>
      <c r="N98" s="204">
        <v>0</v>
      </c>
      <c r="O98" s="69"/>
      <c r="P98" s="37">
        <f t="shared" si="9"/>
        <v>0</v>
      </c>
      <c r="Q98" s="69"/>
    </row>
    <row r="99" spans="1:17" s="102" customFormat="1" ht="25.5" x14ac:dyDescent="0.2">
      <c r="A99" s="32" t="s">
        <v>26</v>
      </c>
      <c r="B99" s="33" t="s">
        <v>18</v>
      </c>
      <c r="C99" s="88" t="s">
        <v>119</v>
      </c>
      <c r="D99" s="35" t="s">
        <v>51</v>
      </c>
      <c r="E99" s="35">
        <f>SUM(F99:M99)</f>
        <v>3.94</v>
      </c>
      <c r="F99" s="322">
        <v>1.86</v>
      </c>
      <c r="G99" s="141"/>
      <c r="H99" s="175">
        <v>1.24</v>
      </c>
      <c r="I99" s="306"/>
      <c r="J99" s="35">
        <v>0.84</v>
      </c>
      <c r="K99" s="152"/>
      <c r="L99" s="152"/>
      <c r="M99" s="175"/>
      <c r="N99" s="204"/>
      <c r="O99" s="38">
        <v>0</v>
      </c>
      <c r="P99" s="68"/>
      <c r="Q99" s="38">
        <f>E99*O99</f>
        <v>0</v>
      </c>
    </row>
    <row r="100" spans="1:17" s="102" customFormat="1" ht="25.5" x14ac:dyDescent="0.2">
      <c r="A100" s="40" t="s">
        <v>63</v>
      </c>
      <c r="B100" s="41" t="s">
        <v>32</v>
      </c>
      <c r="C100" s="70" t="s">
        <v>120</v>
      </c>
      <c r="D100" s="43" t="s">
        <v>51</v>
      </c>
      <c r="E100" s="43">
        <f t="shared" ref="E100:E128" si="10">SUM(F100:M100)</f>
        <v>3.94</v>
      </c>
      <c r="F100" s="320">
        <v>1.86</v>
      </c>
      <c r="G100" s="142"/>
      <c r="H100" s="176">
        <v>1.24</v>
      </c>
      <c r="I100" s="305"/>
      <c r="J100" s="43">
        <v>0.84</v>
      </c>
      <c r="K100" s="153"/>
      <c r="L100" s="153"/>
      <c r="M100" s="176"/>
      <c r="N100" s="204">
        <v>0</v>
      </c>
      <c r="O100" s="69"/>
      <c r="P100" s="37">
        <f>E100*N100</f>
        <v>0</v>
      </c>
      <c r="Q100" s="69"/>
    </row>
    <row r="101" spans="1:17" s="102" customFormat="1" x14ac:dyDescent="0.2">
      <c r="A101" s="40" t="s">
        <v>65</v>
      </c>
      <c r="B101" s="41" t="s">
        <v>32</v>
      </c>
      <c r="C101" s="70" t="s">
        <v>121</v>
      </c>
      <c r="D101" s="43" t="s">
        <v>51</v>
      </c>
      <c r="E101" s="43">
        <f t="shared" si="10"/>
        <v>10</v>
      </c>
      <c r="F101" s="320">
        <v>5</v>
      </c>
      <c r="G101" s="142"/>
      <c r="H101" s="176">
        <v>3</v>
      </c>
      <c r="I101" s="305"/>
      <c r="J101" s="43">
        <v>2</v>
      </c>
      <c r="K101" s="153"/>
      <c r="L101" s="153"/>
      <c r="M101" s="176"/>
      <c r="N101" s="204">
        <v>0</v>
      </c>
      <c r="O101" s="69"/>
      <c r="P101" s="37">
        <f>E101*N101</f>
        <v>0</v>
      </c>
      <c r="Q101" s="69"/>
    </row>
    <row r="102" spans="1:17" s="102" customFormat="1" ht="25.5" x14ac:dyDescent="0.2">
      <c r="A102" s="32" t="s">
        <v>29</v>
      </c>
      <c r="B102" s="33" t="s">
        <v>18</v>
      </c>
      <c r="C102" s="88" t="s">
        <v>122</v>
      </c>
      <c r="D102" s="35" t="s">
        <v>51</v>
      </c>
      <c r="E102" s="35">
        <f t="shared" si="10"/>
        <v>39</v>
      </c>
      <c r="F102" s="184">
        <v>33</v>
      </c>
      <c r="G102" s="141"/>
      <c r="H102" s="175">
        <v>3</v>
      </c>
      <c r="I102" s="306"/>
      <c r="J102" s="35">
        <v>3</v>
      </c>
      <c r="K102" s="152"/>
      <c r="L102" s="152"/>
      <c r="M102" s="175"/>
      <c r="N102" s="204"/>
      <c r="O102" s="38">
        <v>0</v>
      </c>
      <c r="P102" s="68"/>
      <c r="Q102" s="38">
        <f>E102*O102</f>
        <v>0</v>
      </c>
    </row>
    <row r="103" spans="1:17" s="102" customFormat="1" x14ac:dyDescent="0.2">
      <c r="A103" s="40" t="s">
        <v>31</v>
      </c>
      <c r="B103" s="41" t="s">
        <v>32</v>
      </c>
      <c r="C103" s="70" t="s">
        <v>123</v>
      </c>
      <c r="D103" s="43" t="s">
        <v>51</v>
      </c>
      <c r="E103" s="43">
        <f t="shared" si="10"/>
        <v>4</v>
      </c>
      <c r="F103" s="185">
        <v>2</v>
      </c>
      <c r="G103" s="142"/>
      <c r="H103" s="176">
        <v>1</v>
      </c>
      <c r="I103" s="305"/>
      <c r="J103" s="43">
        <v>1</v>
      </c>
      <c r="K103" s="153"/>
      <c r="L103" s="153"/>
      <c r="M103" s="176"/>
      <c r="N103" s="204">
        <v>0</v>
      </c>
      <c r="O103" s="69"/>
      <c r="P103" s="37">
        <f>E103*N103</f>
        <v>0</v>
      </c>
      <c r="Q103" s="69"/>
    </row>
    <row r="104" spans="1:17" s="102" customFormat="1" x14ac:dyDescent="0.2">
      <c r="A104" s="40" t="s">
        <v>124</v>
      </c>
      <c r="B104" s="41" t="s">
        <v>32</v>
      </c>
      <c r="C104" s="70" t="s">
        <v>125</v>
      </c>
      <c r="D104" s="43" t="s">
        <v>51</v>
      </c>
      <c r="E104" s="43">
        <f t="shared" si="10"/>
        <v>8</v>
      </c>
      <c r="F104" s="185">
        <v>4</v>
      </c>
      <c r="G104" s="142"/>
      <c r="H104" s="176">
        <v>2</v>
      </c>
      <c r="I104" s="305"/>
      <c r="J104" s="43">
        <v>2</v>
      </c>
      <c r="K104" s="153"/>
      <c r="L104" s="153"/>
      <c r="M104" s="176"/>
      <c r="N104" s="204">
        <v>0</v>
      </c>
      <c r="O104" s="69"/>
      <c r="P104" s="37">
        <f t="shared" ref="P104:P106" si="11">E104*N104</f>
        <v>0</v>
      </c>
      <c r="Q104" s="69"/>
    </row>
    <row r="105" spans="1:17" s="102" customFormat="1" x14ac:dyDescent="0.2">
      <c r="A105" s="40"/>
      <c r="B105" s="236" t="s">
        <v>32</v>
      </c>
      <c r="C105" s="321" t="s">
        <v>181</v>
      </c>
      <c r="D105" s="320" t="s">
        <v>51</v>
      </c>
      <c r="E105" s="43">
        <f t="shared" si="10"/>
        <v>9</v>
      </c>
      <c r="F105" s="320">
        <f>7+2</f>
        <v>9</v>
      </c>
      <c r="G105" s="142"/>
      <c r="H105" s="176"/>
      <c r="I105" s="305"/>
      <c r="J105" s="305"/>
      <c r="K105" s="153"/>
      <c r="L105" s="153"/>
      <c r="M105" s="176"/>
      <c r="N105" s="204">
        <v>0</v>
      </c>
      <c r="O105" s="69"/>
      <c r="P105" s="37">
        <f t="shared" si="11"/>
        <v>0</v>
      </c>
      <c r="Q105" s="69"/>
    </row>
    <row r="106" spans="1:17" s="102" customFormat="1" x14ac:dyDescent="0.2">
      <c r="A106" s="40"/>
      <c r="B106" s="236" t="s">
        <v>32</v>
      </c>
      <c r="C106" s="321" t="s">
        <v>182</v>
      </c>
      <c r="D106" s="320" t="s">
        <v>51</v>
      </c>
      <c r="E106" s="43">
        <f t="shared" si="10"/>
        <v>18</v>
      </c>
      <c r="F106" s="320">
        <f>14+4</f>
        <v>18</v>
      </c>
      <c r="G106" s="142"/>
      <c r="H106" s="176"/>
      <c r="I106" s="305"/>
      <c r="J106" s="305"/>
      <c r="K106" s="153"/>
      <c r="L106" s="153"/>
      <c r="M106" s="176"/>
      <c r="N106" s="204">
        <v>0</v>
      </c>
      <c r="O106" s="69"/>
      <c r="P106" s="37">
        <f t="shared" si="11"/>
        <v>0</v>
      </c>
      <c r="Q106" s="69"/>
    </row>
    <row r="107" spans="1:17" s="102" customFormat="1" ht="25.5" x14ac:dyDescent="0.2">
      <c r="A107" s="32" t="s">
        <v>12</v>
      </c>
      <c r="B107" s="33" t="s">
        <v>18</v>
      </c>
      <c r="C107" s="88" t="s">
        <v>126</v>
      </c>
      <c r="D107" s="35" t="s">
        <v>51</v>
      </c>
      <c r="E107" s="35">
        <f t="shared" si="10"/>
        <v>16.75</v>
      </c>
      <c r="F107" s="322">
        <f>6.29+2.42</f>
        <v>8.7100000000000009</v>
      </c>
      <c r="G107" s="141"/>
      <c r="H107" s="175">
        <f>5.22+2.82</f>
        <v>8.0399999999999991</v>
      </c>
      <c r="I107" s="306"/>
      <c r="J107" s="306"/>
      <c r="K107" s="152"/>
      <c r="L107" s="152"/>
      <c r="M107" s="175"/>
      <c r="N107" s="204"/>
      <c r="O107" s="38">
        <v>0</v>
      </c>
      <c r="P107" s="68"/>
      <c r="Q107" s="38">
        <f>E107*O107</f>
        <v>0</v>
      </c>
    </row>
    <row r="108" spans="1:17" s="102" customFormat="1" ht="25.5" x14ac:dyDescent="0.2">
      <c r="A108" s="40" t="s">
        <v>35</v>
      </c>
      <c r="B108" s="41" t="s">
        <v>32</v>
      </c>
      <c r="C108" s="70" t="s">
        <v>127</v>
      </c>
      <c r="D108" s="43" t="s">
        <v>51</v>
      </c>
      <c r="E108" s="43">
        <f t="shared" si="10"/>
        <v>16.75</v>
      </c>
      <c r="F108" s="320">
        <f>6.29+2.42</f>
        <v>8.7100000000000009</v>
      </c>
      <c r="G108" s="142"/>
      <c r="H108" s="176">
        <f>5.22+2.82</f>
        <v>8.0399999999999991</v>
      </c>
      <c r="I108" s="305"/>
      <c r="J108" s="305"/>
      <c r="K108" s="153"/>
      <c r="L108" s="153"/>
      <c r="M108" s="176"/>
      <c r="N108" s="204">
        <v>0</v>
      </c>
      <c r="O108" s="69"/>
      <c r="P108" s="37">
        <f>E108*N108</f>
        <v>0</v>
      </c>
      <c r="Q108" s="69"/>
    </row>
    <row r="109" spans="1:17" s="102" customFormat="1" x14ac:dyDescent="0.2">
      <c r="A109" s="40" t="s">
        <v>128</v>
      </c>
      <c r="B109" s="41" t="s">
        <v>32</v>
      </c>
      <c r="C109" s="70" t="s">
        <v>121</v>
      </c>
      <c r="D109" s="43" t="s">
        <v>51</v>
      </c>
      <c r="E109" s="43">
        <f t="shared" si="10"/>
        <v>42</v>
      </c>
      <c r="F109" s="320">
        <f>17+6</f>
        <v>23</v>
      </c>
      <c r="G109" s="142"/>
      <c r="H109" s="176">
        <f>12+7</f>
        <v>19</v>
      </c>
      <c r="I109" s="305"/>
      <c r="J109" s="305"/>
      <c r="K109" s="153"/>
      <c r="L109" s="153"/>
      <c r="M109" s="176"/>
      <c r="N109" s="204">
        <v>0</v>
      </c>
      <c r="O109" s="69"/>
      <c r="P109" s="37">
        <f>E109*N109</f>
        <v>0</v>
      </c>
      <c r="Q109" s="69"/>
    </row>
    <row r="110" spans="1:17" s="102" customFormat="1" ht="25.5" x14ac:dyDescent="0.2">
      <c r="A110" s="32" t="s">
        <v>13</v>
      </c>
      <c r="B110" s="33" t="s">
        <v>18</v>
      </c>
      <c r="C110" s="88" t="s">
        <v>122</v>
      </c>
      <c r="D110" s="35" t="s">
        <v>51</v>
      </c>
      <c r="E110" s="35">
        <f t="shared" si="10"/>
        <v>15</v>
      </c>
      <c r="F110" s="184"/>
      <c r="G110" s="141"/>
      <c r="H110" s="175">
        <f>9+6</f>
        <v>15</v>
      </c>
      <c r="I110" s="306"/>
      <c r="J110" s="306"/>
      <c r="K110" s="152"/>
      <c r="L110" s="152"/>
      <c r="M110" s="175"/>
      <c r="N110" s="204"/>
      <c r="O110" s="38">
        <v>0</v>
      </c>
      <c r="P110" s="37"/>
      <c r="Q110" s="69">
        <f>E110*O110</f>
        <v>0</v>
      </c>
    </row>
    <row r="111" spans="1:17" s="102" customFormat="1" x14ac:dyDescent="0.2">
      <c r="A111" s="40" t="s">
        <v>38</v>
      </c>
      <c r="B111" s="41" t="s">
        <v>32</v>
      </c>
      <c r="C111" s="70" t="s">
        <v>129</v>
      </c>
      <c r="D111" s="43" t="s">
        <v>51</v>
      </c>
      <c r="E111" s="43">
        <f t="shared" si="10"/>
        <v>5</v>
      </c>
      <c r="F111" s="185"/>
      <c r="G111" s="142"/>
      <c r="H111" s="176">
        <f>3+2</f>
        <v>5</v>
      </c>
      <c r="I111" s="305"/>
      <c r="J111" s="305"/>
      <c r="K111" s="153"/>
      <c r="L111" s="153"/>
      <c r="M111" s="176"/>
      <c r="N111" s="204">
        <v>0</v>
      </c>
      <c r="O111" s="69"/>
      <c r="P111" s="324">
        <f>E111*N111</f>
        <v>0</v>
      </c>
      <c r="Q111" s="69"/>
    </row>
    <row r="112" spans="1:17" s="102" customFormat="1" x14ac:dyDescent="0.2">
      <c r="A112" s="40" t="s">
        <v>130</v>
      </c>
      <c r="B112" s="41" t="s">
        <v>32</v>
      </c>
      <c r="C112" s="70" t="s">
        <v>131</v>
      </c>
      <c r="D112" s="43" t="s">
        <v>51</v>
      </c>
      <c r="E112" s="43">
        <f t="shared" si="10"/>
        <v>10</v>
      </c>
      <c r="F112" s="185"/>
      <c r="G112" s="142"/>
      <c r="H112" s="176">
        <f>6+4</f>
        <v>10</v>
      </c>
      <c r="I112" s="305"/>
      <c r="J112" s="305"/>
      <c r="K112" s="153"/>
      <c r="L112" s="153"/>
      <c r="M112" s="176"/>
      <c r="N112" s="204">
        <v>0</v>
      </c>
      <c r="O112" s="69"/>
      <c r="P112" s="37">
        <f>E111*N111</f>
        <v>0</v>
      </c>
      <c r="Q112" s="69"/>
    </row>
    <row r="113" spans="1:19" s="102" customFormat="1" ht="25.5" x14ac:dyDescent="0.2">
      <c r="A113" s="32" t="s">
        <v>14</v>
      </c>
      <c r="B113" s="33" t="s">
        <v>18</v>
      </c>
      <c r="C113" s="88" t="s">
        <v>132</v>
      </c>
      <c r="D113" s="35" t="s">
        <v>51</v>
      </c>
      <c r="E113" s="35">
        <f t="shared" si="10"/>
        <v>2</v>
      </c>
      <c r="F113" s="184"/>
      <c r="G113" s="141"/>
      <c r="H113" s="175">
        <v>1</v>
      </c>
      <c r="I113" s="306"/>
      <c r="J113" s="306"/>
      <c r="K113" s="152"/>
      <c r="L113" s="152">
        <v>1</v>
      </c>
      <c r="M113" s="175"/>
      <c r="N113" s="204"/>
      <c r="O113" s="38">
        <v>0</v>
      </c>
      <c r="P113" s="68"/>
      <c r="Q113" s="38">
        <f>E113*O113</f>
        <v>0</v>
      </c>
    </row>
    <row r="114" spans="1:19" s="102" customFormat="1" x14ac:dyDescent="0.2">
      <c r="A114" s="40" t="s">
        <v>133</v>
      </c>
      <c r="B114" s="41" t="s">
        <v>32</v>
      </c>
      <c r="C114" s="70" t="s">
        <v>83</v>
      </c>
      <c r="D114" s="43" t="s">
        <v>51</v>
      </c>
      <c r="E114" s="43">
        <f t="shared" si="10"/>
        <v>2</v>
      </c>
      <c r="F114" s="185"/>
      <c r="G114" s="142"/>
      <c r="H114" s="176">
        <v>1</v>
      </c>
      <c r="I114" s="305"/>
      <c r="J114" s="305"/>
      <c r="K114" s="153"/>
      <c r="L114" s="153">
        <v>1</v>
      </c>
      <c r="M114" s="176"/>
      <c r="N114" s="204">
        <v>0</v>
      </c>
      <c r="O114" s="69"/>
      <c r="P114" s="37">
        <f>E114*N114</f>
        <v>0</v>
      </c>
      <c r="Q114" s="69"/>
    </row>
    <row r="115" spans="1:19" s="102" customFormat="1" ht="25.5" x14ac:dyDescent="0.2">
      <c r="A115" s="40" t="s">
        <v>134</v>
      </c>
      <c r="B115" s="41" t="s">
        <v>32</v>
      </c>
      <c r="C115" s="70" t="s">
        <v>86</v>
      </c>
      <c r="D115" s="43" t="s">
        <v>51</v>
      </c>
      <c r="E115" s="43">
        <f t="shared" si="10"/>
        <v>2</v>
      </c>
      <c r="F115" s="185"/>
      <c r="G115" s="142"/>
      <c r="H115" s="176">
        <v>1</v>
      </c>
      <c r="I115" s="305"/>
      <c r="J115" s="305"/>
      <c r="K115" s="153"/>
      <c r="L115" s="153">
        <v>1</v>
      </c>
      <c r="M115" s="176"/>
      <c r="N115" s="204">
        <v>0</v>
      </c>
      <c r="O115" s="69"/>
      <c r="P115" s="37">
        <f t="shared" ref="P115:P119" si="12">E115*N115</f>
        <v>0</v>
      </c>
      <c r="Q115" s="69"/>
    </row>
    <row r="116" spans="1:19" s="102" customFormat="1" ht="25.5" x14ac:dyDescent="0.2">
      <c r="A116" s="40" t="s">
        <v>135</v>
      </c>
      <c r="B116" s="41" t="s">
        <v>32</v>
      </c>
      <c r="C116" s="70" t="s">
        <v>90</v>
      </c>
      <c r="D116" s="43" t="s">
        <v>51</v>
      </c>
      <c r="E116" s="43">
        <f t="shared" si="10"/>
        <v>2</v>
      </c>
      <c r="F116" s="185"/>
      <c r="G116" s="142"/>
      <c r="H116" s="176">
        <v>1</v>
      </c>
      <c r="I116" s="305"/>
      <c r="J116" s="305"/>
      <c r="K116" s="153"/>
      <c r="L116" s="153">
        <v>1</v>
      </c>
      <c r="M116" s="176"/>
      <c r="N116" s="204">
        <v>0</v>
      </c>
      <c r="O116" s="69"/>
      <c r="P116" s="37">
        <f t="shared" si="12"/>
        <v>0</v>
      </c>
      <c r="Q116" s="69"/>
    </row>
    <row r="117" spans="1:19" s="102" customFormat="1" ht="25.5" x14ac:dyDescent="0.2">
      <c r="A117" s="40" t="s">
        <v>136</v>
      </c>
      <c r="B117" s="41" t="s">
        <v>32</v>
      </c>
      <c r="C117" s="70" t="s">
        <v>92</v>
      </c>
      <c r="D117" s="43" t="s">
        <v>51</v>
      </c>
      <c r="E117" s="43">
        <f t="shared" si="10"/>
        <v>1</v>
      </c>
      <c r="F117" s="185"/>
      <c r="G117" s="142"/>
      <c r="H117" s="176">
        <v>1</v>
      </c>
      <c r="I117" s="305"/>
      <c r="J117" s="305"/>
      <c r="K117" s="153"/>
      <c r="L117" s="153"/>
      <c r="M117" s="176"/>
      <c r="N117" s="204">
        <v>0</v>
      </c>
      <c r="O117" s="69"/>
      <c r="P117" s="37">
        <f t="shared" si="12"/>
        <v>0</v>
      </c>
      <c r="Q117" s="69"/>
    </row>
    <row r="118" spans="1:19" s="102" customFormat="1" x14ac:dyDescent="0.2">
      <c r="A118" s="40" t="s">
        <v>137</v>
      </c>
      <c r="B118" s="41" t="s">
        <v>32</v>
      </c>
      <c r="C118" s="70" t="s">
        <v>138</v>
      </c>
      <c r="D118" s="43" t="s">
        <v>51</v>
      </c>
      <c r="E118" s="43">
        <f t="shared" si="10"/>
        <v>2</v>
      </c>
      <c r="F118" s="185"/>
      <c r="G118" s="142"/>
      <c r="H118" s="176">
        <v>1</v>
      </c>
      <c r="I118" s="305"/>
      <c r="J118" s="305"/>
      <c r="K118" s="153"/>
      <c r="L118" s="153">
        <v>1</v>
      </c>
      <c r="M118" s="176"/>
      <c r="N118" s="204">
        <v>0</v>
      </c>
      <c r="O118" s="69"/>
      <c r="P118" s="37">
        <f t="shared" si="12"/>
        <v>0</v>
      </c>
      <c r="Q118" s="69"/>
    </row>
    <row r="119" spans="1:19" s="102" customFormat="1" x14ac:dyDescent="0.2">
      <c r="A119" s="40" t="s">
        <v>139</v>
      </c>
      <c r="B119" s="41" t="s">
        <v>32</v>
      </c>
      <c r="C119" s="70" t="s">
        <v>140</v>
      </c>
      <c r="D119" s="43" t="s">
        <v>51</v>
      </c>
      <c r="E119" s="43">
        <f t="shared" si="10"/>
        <v>5</v>
      </c>
      <c r="F119" s="185"/>
      <c r="G119" s="142"/>
      <c r="H119" s="176">
        <v>3</v>
      </c>
      <c r="I119" s="305"/>
      <c r="J119" s="305"/>
      <c r="K119" s="153"/>
      <c r="L119" s="153">
        <v>2</v>
      </c>
      <c r="M119" s="176"/>
      <c r="N119" s="204">
        <v>0</v>
      </c>
      <c r="O119" s="69"/>
      <c r="P119" s="37">
        <f t="shared" si="12"/>
        <v>0</v>
      </c>
      <c r="Q119" s="69"/>
    </row>
    <row r="120" spans="1:19" s="102" customFormat="1" x14ac:dyDescent="0.2">
      <c r="A120" s="32" t="s">
        <v>14</v>
      </c>
      <c r="B120" s="33" t="s">
        <v>18</v>
      </c>
      <c r="C120" s="88" t="s">
        <v>141</v>
      </c>
      <c r="D120" s="35" t="s">
        <v>51</v>
      </c>
      <c r="E120" s="35">
        <f t="shared" si="10"/>
        <v>62</v>
      </c>
      <c r="F120" s="184">
        <f>F122+F124</f>
        <v>17</v>
      </c>
      <c r="G120" s="141">
        <v>7</v>
      </c>
      <c r="H120" s="175">
        <f>H122+H123+H124+H125</f>
        <v>17</v>
      </c>
      <c r="I120" s="306">
        <v>5</v>
      </c>
      <c r="J120" s="306">
        <v>5</v>
      </c>
      <c r="K120" s="152">
        <v>2</v>
      </c>
      <c r="L120" s="152">
        <v>7</v>
      </c>
      <c r="M120" s="175">
        <v>2</v>
      </c>
      <c r="N120" s="204"/>
      <c r="O120" s="38">
        <v>0</v>
      </c>
      <c r="P120" s="68"/>
      <c r="Q120" s="38">
        <f>E120*O120</f>
        <v>0</v>
      </c>
    </row>
    <row r="121" spans="1:19" s="102" customFormat="1" x14ac:dyDescent="0.2">
      <c r="A121" s="40" t="s">
        <v>133</v>
      </c>
      <c r="B121" s="41" t="s">
        <v>32</v>
      </c>
      <c r="C121" s="70" t="s">
        <v>142</v>
      </c>
      <c r="D121" s="43" t="s">
        <v>51</v>
      </c>
      <c r="E121" s="43">
        <f t="shared" si="10"/>
        <v>110</v>
      </c>
      <c r="F121" s="185">
        <v>26</v>
      </c>
      <c r="G121" s="142">
        <v>11</v>
      </c>
      <c r="H121" s="176">
        <f>25+10</f>
        <v>35</v>
      </c>
      <c r="I121" s="305">
        <v>8</v>
      </c>
      <c r="J121" s="305">
        <v>8</v>
      </c>
      <c r="K121" s="153">
        <v>4</v>
      </c>
      <c r="L121" s="153">
        <v>14</v>
      </c>
      <c r="M121" s="176">
        <v>4</v>
      </c>
      <c r="N121" s="204">
        <v>0</v>
      </c>
      <c r="O121" s="38"/>
      <c r="P121" s="37">
        <f>E121*N121</f>
        <v>0</v>
      </c>
      <c r="Q121" s="38"/>
    </row>
    <row r="122" spans="1:19" s="102" customFormat="1" x14ac:dyDescent="0.2">
      <c r="A122" s="40" t="s">
        <v>134</v>
      </c>
      <c r="B122" s="41" t="s">
        <v>32</v>
      </c>
      <c r="C122" s="70" t="s">
        <v>143</v>
      </c>
      <c r="D122" s="43" t="s">
        <v>51</v>
      </c>
      <c r="E122" s="43">
        <f t="shared" si="10"/>
        <v>20</v>
      </c>
      <c r="F122" s="185">
        <v>1</v>
      </c>
      <c r="G122" s="142">
        <v>2</v>
      </c>
      <c r="H122" s="176">
        <v>11</v>
      </c>
      <c r="I122" s="305">
        <v>2</v>
      </c>
      <c r="J122" s="305"/>
      <c r="K122" s="153"/>
      <c r="L122" s="153">
        <v>2</v>
      </c>
      <c r="M122" s="176">
        <v>2</v>
      </c>
      <c r="N122" s="204">
        <v>0</v>
      </c>
      <c r="O122" s="69"/>
      <c r="P122" s="37">
        <f t="shared" ref="P122:P125" si="13">E122*N122</f>
        <v>0</v>
      </c>
      <c r="Q122" s="69"/>
    </row>
    <row r="123" spans="1:19" s="102" customFormat="1" x14ac:dyDescent="0.2">
      <c r="A123" s="40" t="s">
        <v>135</v>
      </c>
      <c r="B123" s="41" t="s">
        <v>32</v>
      </c>
      <c r="C123" s="70" t="s">
        <v>144</v>
      </c>
      <c r="D123" s="43" t="s">
        <v>51</v>
      </c>
      <c r="E123" s="43">
        <f t="shared" si="10"/>
        <v>5</v>
      </c>
      <c r="F123" s="185"/>
      <c r="G123" s="142"/>
      <c r="H123" s="176">
        <v>1</v>
      </c>
      <c r="I123" s="305"/>
      <c r="J123" s="305"/>
      <c r="K123" s="153">
        <v>1</v>
      </c>
      <c r="L123" s="153">
        <v>3</v>
      </c>
      <c r="M123" s="176"/>
      <c r="N123" s="204">
        <v>0</v>
      </c>
      <c r="O123" s="69"/>
      <c r="P123" s="37">
        <f t="shared" si="13"/>
        <v>0</v>
      </c>
      <c r="Q123" s="69"/>
    </row>
    <row r="124" spans="1:19" s="102" customFormat="1" x14ac:dyDescent="0.2">
      <c r="A124" s="40" t="s">
        <v>136</v>
      </c>
      <c r="B124" s="41" t="s">
        <v>32</v>
      </c>
      <c r="C124" s="70" t="s">
        <v>145</v>
      </c>
      <c r="D124" s="43" t="s">
        <v>51</v>
      </c>
      <c r="E124" s="43">
        <f t="shared" si="10"/>
        <v>38</v>
      </c>
      <c r="F124" s="185">
        <v>16</v>
      </c>
      <c r="G124" s="142">
        <v>5</v>
      </c>
      <c r="H124" s="176">
        <v>4</v>
      </c>
      <c r="I124" s="305">
        <v>3</v>
      </c>
      <c r="J124" s="305">
        <v>5</v>
      </c>
      <c r="K124" s="153">
        <v>1</v>
      </c>
      <c r="L124" s="153">
        <v>4</v>
      </c>
      <c r="M124" s="176"/>
      <c r="N124" s="204">
        <v>0</v>
      </c>
      <c r="O124" s="69"/>
      <c r="P124" s="37">
        <f t="shared" si="13"/>
        <v>0</v>
      </c>
      <c r="Q124" s="69"/>
    </row>
    <row r="125" spans="1:19" s="102" customFormat="1" x14ac:dyDescent="0.2">
      <c r="A125" s="40" t="s">
        <v>137</v>
      </c>
      <c r="B125" s="41" t="s">
        <v>32</v>
      </c>
      <c r="C125" s="42" t="s">
        <v>183</v>
      </c>
      <c r="D125" s="43" t="s">
        <v>51</v>
      </c>
      <c r="E125" s="43">
        <f t="shared" si="10"/>
        <v>2</v>
      </c>
      <c r="F125" s="142"/>
      <c r="G125" s="142"/>
      <c r="H125" s="176">
        <v>1</v>
      </c>
      <c r="I125" s="305"/>
      <c r="J125" s="305"/>
      <c r="K125" s="153"/>
      <c r="L125" s="153">
        <v>1</v>
      </c>
      <c r="M125" s="176"/>
      <c r="N125" s="204">
        <v>0</v>
      </c>
      <c r="O125" s="69"/>
      <c r="P125" s="37">
        <f t="shared" si="13"/>
        <v>0</v>
      </c>
      <c r="Q125" s="69"/>
    </row>
    <row r="126" spans="1:19" s="102" customFormat="1" x14ac:dyDescent="0.2">
      <c r="A126" s="32" t="s">
        <v>15</v>
      </c>
      <c r="B126" s="33" t="s">
        <v>18</v>
      </c>
      <c r="C126" s="88" t="s">
        <v>146</v>
      </c>
      <c r="D126" s="35" t="s">
        <v>46</v>
      </c>
      <c r="E126" s="35">
        <f t="shared" si="10"/>
        <v>335.11</v>
      </c>
      <c r="F126" s="323">
        <v>94.43</v>
      </c>
      <c r="G126" s="141">
        <v>135.56</v>
      </c>
      <c r="H126" s="164">
        <f>H52+H39+H99+H107</f>
        <v>79.19</v>
      </c>
      <c r="I126" s="283">
        <v>8.49</v>
      </c>
      <c r="J126" s="283">
        <v>14.44</v>
      </c>
      <c r="K126" s="146">
        <v>3</v>
      </c>
      <c r="L126" s="146"/>
      <c r="M126" s="164"/>
      <c r="N126" s="209"/>
      <c r="O126" s="38">
        <v>0</v>
      </c>
      <c r="P126" s="104"/>
      <c r="Q126" s="105">
        <f>E126*O126</f>
        <v>0</v>
      </c>
      <c r="S126" s="106"/>
    </row>
    <row r="127" spans="1:19" s="102" customFormat="1" x14ac:dyDescent="0.2">
      <c r="A127" s="32" t="s">
        <v>147</v>
      </c>
      <c r="B127" s="33" t="s">
        <v>18</v>
      </c>
      <c r="C127" s="88" t="s">
        <v>148</v>
      </c>
      <c r="D127" s="35" t="s">
        <v>46</v>
      </c>
      <c r="E127" s="35">
        <f t="shared" si="10"/>
        <v>556.03000000000009</v>
      </c>
      <c r="F127" s="323">
        <v>202.45</v>
      </c>
      <c r="G127" s="141"/>
      <c r="H127" s="164">
        <f>H30+H33+H36</f>
        <v>121.38000000000001</v>
      </c>
      <c r="I127" s="283">
        <v>124.8</v>
      </c>
      <c r="J127" s="283">
        <v>61.35</v>
      </c>
      <c r="K127" s="146">
        <v>22.7</v>
      </c>
      <c r="L127" s="146"/>
      <c r="M127" s="164">
        <v>23.35</v>
      </c>
      <c r="N127" s="209"/>
      <c r="O127" s="38">
        <v>0</v>
      </c>
      <c r="P127" s="104"/>
      <c r="Q127" s="105">
        <f t="shared" ref="Q127:Q128" si="14">E127*O127</f>
        <v>0</v>
      </c>
      <c r="S127" s="106"/>
    </row>
    <row r="128" spans="1:19" s="102" customFormat="1" ht="13.5" thickBot="1" x14ac:dyDescent="0.25">
      <c r="A128" s="45" t="s">
        <v>149</v>
      </c>
      <c r="B128" s="46" t="s">
        <v>18</v>
      </c>
      <c r="C128" s="107" t="s">
        <v>150</v>
      </c>
      <c r="D128" s="48" t="s">
        <v>46</v>
      </c>
      <c r="E128" s="35">
        <f t="shared" si="10"/>
        <v>891.14</v>
      </c>
      <c r="F128" s="186">
        <v>296.88</v>
      </c>
      <c r="G128" s="159">
        <v>135.56</v>
      </c>
      <c r="H128" s="166">
        <f>H126+H127</f>
        <v>200.57</v>
      </c>
      <c r="I128" s="283">
        <v>133.29</v>
      </c>
      <c r="J128" s="283">
        <v>75.790000000000006</v>
      </c>
      <c r="K128" s="146">
        <v>25.7</v>
      </c>
      <c r="L128" s="146"/>
      <c r="M128" s="164">
        <v>23.35</v>
      </c>
      <c r="N128" s="210"/>
      <c r="O128" s="51">
        <v>0</v>
      </c>
      <c r="P128" s="108"/>
      <c r="Q128" s="105">
        <f t="shared" si="14"/>
        <v>0</v>
      </c>
    </row>
    <row r="129" spans="1:17" ht="15" x14ac:dyDescent="0.25">
      <c r="A129" s="109"/>
      <c r="B129" s="110"/>
      <c r="C129" s="111" t="s">
        <v>40</v>
      </c>
      <c r="D129" s="112"/>
      <c r="E129" s="112"/>
      <c r="F129" s="194"/>
      <c r="G129" s="160"/>
      <c r="H129" s="167"/>
      <c r="I129" s="307"/>
      <c r="J129" s="307"/>
      <c r="K129" s="148"/>
      <c r="L129" s="148"/>
      <c r="M129" s="200"/>
      <c r="N129" s="206"/>
      <c r="O129" s="54"/>
      <c r="P129" s="55">
        <f>SUM(P63:P128)</f>
        <v>0</v>
      </c>
      <c r="Q129" s="53">
        <f>SUM(Q62:Q128)</f>
        <v>0</v>
      </c>
    </row>
    <row r="130" spans="1:17" ht="15.75" thickBot="1" x14ac:dyDescent="0.3">
      <c r="A130" s="113"/>
      <c r="B130" s="114"/>
      <c r="C130" s="115" t="s">
        <v>41</v>
      </c>
      <c r="D130" s="116"/>
      <c r="E130" s="116"/>
      <c r="F130" s="195"/>
      <c r="G130" s="161"/>
      <c r="H130" s="168"/>
      <c r="I130" s="307"/>
      <c r="J130" s="307"/>
      <c r="K130" s="148"/>
      <c r="L130" s="148"/>
      <c r="M130" s="200"/>
      <c r="N130" s="207"/>
      <c r="O130" s="61"/>
      <c r="P130" s="62"/>
      <c r="Q130" s="60">
        <f>P129+Q129</f>
        <v>0</v>
      </c>
    </row>
    <row r="131" spans="1:17" ht="14.25" x14ac:dyDescent="0.25">
      <c r="A131" s="117"/>
      <c r="B131" s="117"/>
      <c r="C131" s="118" t="s">
        <v>151</v>
      </c>
      <c r="D131" s="119"/>
      <c r="E131" s="119"/>
      <c r="F131" s="196"/>
      <c r="G131" s="145"/>
      <c r="H131" s="177"/>
      <c r="I131" s="308"/>
      <c r="J131" s="308"/>
      <c r="K131" s="154"/>
      <c r="L131" s="154"/>
      <c r="M131" s="201"/>
      <c r="N131" s="120"/>
      <c r="O131" s="211"/>
      <c r="P131" s="121">
        <f>P27+P42+P59+P129</f>
        <v>0</v>
      </c>
      <c r="Q131" s="121">
        <f>Q27+Q42+Q59+Q129</f>
        <v>0</v>
      </c>
    </row>
    <row r="132" spans="1:17" ht="14.25" x14ac:dyDescent="0.25">
      <c r="A132" s="122"/>
      <c r="B132" s="122"/>
      <c r="C132" s="123" t="s">
        <v>152</v>
      </c>
      <c r="D132" s="124"/>
      <c r="E132" s="124"/>
      <c r="F132" s="197"/>
      <c r="G132" s="138"/>
      <c r="H132" s="178"/>
      <c r="I132" s="308"/>
      <c r="J132" s="308"/>
      <c r="K132" s="154"/>
      <c r="L132" s="154"/>
      <c r="M132" s="201"/>
      <c r="N132" s="125"/>
      <c r="O132" s="212"/>
      <c r="P132" s="126"/>
      <c r="Q132" s="126">
        <f>Q28+Q43+Q60+Q130</f>
        <v>0</v>
      </c>
    </row>
    <row r="133" spans="1:17" ht="15" thickBot="1" x14ac:dyDescent="0.3">
      <c r="A133" s="127"/>
      <c r="B133" s="127"/>
      <c r="C133" s="128" t="s">
        <v>153</v>
      </c>
      <c r="D133" s="129">
        <v>0.2</v>
      </c>
      <c r="E133" s="129"/>
      <c r="F133" s="198"/>
      <c r="G133" s="180"/>
      <c r="H133" s="179"/>
      <c r="I133" s="308"/>
      <c r="J133" s="308"/>
      <c r="K133" s="154"/>
      <c r="L133" s="154"/>
      <c r="M133" s="201"/>
      <c r="N133" s="130"/>
      <c r="O133" s="213"/>
      <c r="P133" s="131"/>
      <c r="Q133" s="131">
        <f>Q132/1.2*D133</f>
        <v>0</v>
      </c>
    </row>
    <row r="136" spans="1:17" x14ac:dyDescent="0.25">
      <c r="C136" s="4" t="s">
        <v>154</v>
      </c>
    </row>
  </sheetData>
  <mergeCells count="11">
    <mergeCell ref="P1:Q1"/>
    <mergeCell ref="E10:E11"/>
    <mergeCell ref="A4:Q4"/>
    <mergeCell ref="A5:Q5"/>
    <mergeCell ref="A6:Q6"/>
    <mergeCell ref="A8:Q8"/>
    <mergeCell ref="A10:A11"/>
    <mergeCell ref="C10:C11"/>
    <mergeCell ref="D10:D11"/>
    <mergeCell ref="N10:O10"/>
    <mergeCell ref="P10:Q10"/>
  </mergeCells>
  <phoneticPr fontId="15" type="noConversion"/>
  <pageMargins left="0.31496062992125984" right="0.19685039370078741" top="0.55118110236220474" bottom="0.55118110236220474" header="0" footer="0.31496062992125984"/>
  <pageSetup paperSize="9" scale="87" fitToHeight="0" orientation="landscape" r:id="rId1"/>
  <headerFooter>
    <oddFooter>&amp;C&amp;P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КП</vt:lpstr>
      <vt:lpstr>'форма КП'!Заголовки_для_печати</vt:lpstr>
      <vt:lpstr>'форма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2024-10-24T11:48:07Z</cp:lastPrinted>
  <dcterms:created xsi:type="dcterms:W3CDTF">2024-10-23T12:15:47Z</dcterms:created>
  <dcterms:modified xsi:type="dcterms:W3CDTF">2024-10-30T09:44:33Z</dcterms:modified>
</cp:coreProperties>
</file>