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ДО\БУГРЫ 2023\ПРОТОКОЛЫ\ОВ2\"/>
    </mc:Choice>
  </mc:AlternateContent>
  <xr:revisionPtr revIDLastSave="0" documentId="13_ncr:1_{EA37A9E5-7A55-4D65-B587-6F5CA281827A}" xr6:coauthVersionLast="45" xr6:coauthVersionMax="45" xr10:uidLastSave="{00000000-0000-0000-0000-000000000000}"/>
  <bookViews>
    <workbookView xWindow="-120" yWindow="-120" windowWidth="29040" windowHeight="15990" tabRatio="723" xr2:uid="{00000000-000D-0000-FFFF-FFFF00000000}"/>
  </bookViews>
  <sheets>
    <sheet name="КП ОВ2 К18" sheetId="1" r:id="rId1"/>
    <sheet name="Лист1" sheetId="2" r:id="rId2"/>
  </sheets>
  <definedNames>
    <definedName name="_xlnm.Print_Titles" localSheetId="0">'КП ОВ2 К18'!$16:$16</definedName>
    <definedName name="_xlnm.Print_Area" localSheetId="0">'КП ОВ2 К18'!$A$1:$I$875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73" i="1" l="1"/>
  <c r="I1656" i="1" l="1"/>
  <c r="I1635" i="1"/>
  <c r="I1607" i="1"/>
  <c r="I1579" i="1"/>
  <c r="I1560" i="1"/>
  <c r="I1542" i="1"/>
  <c r="I1445" i="1"/>
  <c r="I428" i="1"/>
  <c r="I408" i="1"/>
  <c r="I380" i="1"/>
  <c r="I353" i="1"/>
  <c r="I328" i="1"/>
  <c r="I309" i="1"/>
  <c r="I289" i="1"/>
  <c r="I271" i="1"/>
  <c r="I175" i="1"/>
  <c r="K1661" i="1"/>
  <c r="K1663" i="1"/>
  <c r="K1662" i="1"/>
  <c r="K1659" i="1"/>
  <c r="K1660" i="1"/>
  <c r="K1664" i="1"/>
  <c r="K1644" i="1"/>
  <c r="K1643" i="1"/>
  <c r="K1642" i="1"/>
  <c r="K1641" i="1"/>
  <c r="K1640" i="1"/>
  <c r="K1639" i="1"/>
  <c r="K1638" i="1"/>
  <c r="H1640" i="1"/>
  <c r="K1624" i="1"/>
  <c r="K1619" i="1"/>
  <c r="K1618" i="1"/>
  <c r="K1617" i="1"/>
  <c r="K1623" i="1"/>
  <c r="K1616" i="1"/>
  <c r="K1615" i="1"/>
  <c r="K1614" i="1"/>
  <c r="K1597" i="1"/>
  <c r="K1596" i="1"/>
  <c r="K1592" i="1"/>
  <c r="K1591" i="1"/>
  <c r="K1590" i="1"/>
  <c r="K1589" i="1"/>
  <c r="K1588" i="1"/>
  <c r="H1587" i="1"/>
  <c r="H1588" i="1"/>
  <c r="K1587" i="1"/>
  <c r="K1586" i="1"/>
  <c r="K1620" i="1" l="1"/>
  <c r="K1657" i="1"/>
  <c r="K1593" i="1"/>
  <c r="K1612" i="1"/>
  <c r="K1636" i="1"/>
  <c r="K1584" i="1"/>
  <c r="K1567" i="1"/>
  <c r="K1564" i="1"/>
  <c r="E1554" i="1"/>
  <c r="H1554" i="1" s="1"/>
  <c r="E1553" i="1"/>
  <c r="H1553" i="1" s="1"/>
  <c r="I1552" i="1"/>
  <c r="K1546" i="1"/>
  <c r="E1669" i="1"/>
  <c r="H1669" i="1" s="1"/>
  <c r="E1668" i="1"/>
  <c r="H1668" i="1" s="1"/>
  <c r="I1667" i="1"/>
  <c r="H1666" i="1"/>
  <c r="I1665" i="1"/>
  <c r="H1664" i="1"/>
  <c r="H1663" i="1"/>
  <c r="H1662" i="1"/>
  <c r="H1661" i="1"/>
  <c r="H1660" i="1"/>
  <c r="H1659" i="1"/>
  <c r="E1658" i="1"/>
  <c r="H1658" i="1" s="1"/>
  <c r="H1655" i="1"/>
  <c r="I1654" i="1"/>
  <c r="H1653" i="1"/>
  <c r="I1652" i="1"/>
  <c r="E1649" i="1"/>
  <c r="H1649" i="1" s="1"/>
  <c r="E1648" i="1"/>
  <c r="H1648" i="1" s="1"/>
  <c r="I1647" i="1"/>
  <c r="H1646" i="1"/>
  <c r="I1645" i="1"/>
  <c r="H1644" i="1"/>
  <c r="H1643" i="1"/>
  <c r="H1642" i="1"/>
  <c r="H1641" i="1"/>
  <c r="H1639" i="1"/>
  <c r="H1638" i="1"/>
  <c r="I1636" i="1"/>
  <c r="H1634" i="1"/>
  <c r="I1633" i="1"/>
  <c r="H1632" i="1"/>
  <c r="I1631" i="1"/>
  <c r="E1628" i="1"/>
  <c r="H1628" i="1" s="1"/>
  <c r="E1627" i="1"/>
  <c r="H1627" i="1" s="1"/>
  <c r="I1626" i="1"/>
  <c r="H1625" i="1"/>
  <c r="H1624" i="1"/>
  <c r="H1623" i="1"/>
  <c r="H1622" i="1"/>
  <c r="E1621" i="1"/>
  <c r="H1621" i="1" s="1"/>
  <c r="I1620" i="1"/>
  <c r="H1619" i="1"/>
  <c r="H1618" i="1"/>
  <c r="H1617" i="1"/>
  <c r="H1616" i="1"/>
  <c r="H1615" i="1"/>
  <c r="H1614" i="1"/>
  <c r="E1613" i="1"/>
  <c r="H1613" i="1" s="1"/>
  <c r="H1611" i="1"/>
  <c r="I1610" i="1"/>
  <c r="H1609" i="1"/>
  <c r="I1608" i="1"/>
  <c r="H1606" i="1"/>
  <c r="H1605" i="1"/>
  <c r="I1604" i="1"/>
  <c r="E1601" i="1"/>
  <c r="H1601" i="1" s="1"/>
  <c r="E1600" i="1"/>
  <c r="H1600" i="1" s="1"/>
  <c r="I1599" i="1"/>
  <c r="H1598" i="1"/>
  <c r="H1597" i="1"/>
  <c r="H1596" i="1"/>
  <c r="H1595" i="1"/>
  <c r="E1594" i="1"/>
  <c r="H1594" i="1" s="1"/>
  <c r="I1593" i="1"/>
  <c r="H1592" i="1"/>
  <c r="H1591" i="1"/>
  <c r="H1590" i="1"/>
  <c r="H1589" i="1"/>
  <c r="H1586" i="1"/>
  <c r="E1585" i="1"/>
  <c r="H1585" i="1" s="1"/>
  <c r="H1583" i="1"/>
  <c r="I1582" i="1"/>
  <c r="H1581" i="1"/>
  <c r="I1580" i="1"/>
  <c r="H1578" i="1"/>
  <c r="H1577" i="1"/>
  <c r="I1576" i="1"/>
  <c r="H1573" i="1"/>
  <c r="H1572" i="1"/>
  <c r="I1571" i="1"/>
  <c r="E1570" i="1"/>
  <c r="H1570" i="1" s="1"/>
  <c r="E1569" i="1"/>
  <c r="H1569" i="1" s="1"/>
  <c r="I1568" i="1"/>
  <c r="H1567" i="1"/>
  <c r="H1566" i="1"/>
  <c r="H1565" i="1"/>
  <c r="H1564" i="1"/>
  <c r="H1563" i="1"/>
  <c r="E1562" i="1"/>
  <c r="H1562" i="1" s="1"/>
  <c r="I1561" i="1"/>
  <c r="H1559" i="1"/>
  <c r="H1558" i="1"/>
  <c r="I1557" i="1"/>
  <c r="H1551" i="1"/>
  <c r="H1550" i="1"/>
  <c r="I1549" i="1"/>
  <c r="H1548" i="1"/>
  <c r="H1547" i="1"/>
  <c r="H1546" i="1"/>
  <c r="H1545" i="1"/>
  <c r="E1543" i="1"/>
  <c r="I1543" i="1" s="1"/>
  <c r="H1541" i="1"/>
  <c r="H1540" i="1"/>
  <c r="I1539" i="1"/>
  <c r="E1527" i="1"/>
  <c r="E1528" i="1" s="1"/>
  <c r="H1528" i="1" s="1"/>
  <c r="K1516" i="1"/>
  <c r="H1516" i="1"/>
  <c r="E1515" i="1"/>
  <c r="K1515" i="1" s="1"/>
  <c r="K1511" i="1"/>
  <c r="K1510" i="1"/>
  <c r="E1509" i="1"/>
  <c r="H1509" i="1" s="1"/>
  <c r="E1508" i="1"/>
  <c r="K1508" i="1" s="1"/>
  <c r="E1514" i="1"/>
  <c r="H1514" i="1" s="1"/>
  <c r="K1494" i="1"/>
  <c r="K1493" i="1"/>
  <c r="K1492" i="1"/>
  <c r="H1533" i="1"/>
  <c r="I1532" i="1"/>
  <c r="H1531" i="1"/>
  <c r="I1530" i="1"/>
  <c r="H1526" i="1"/>
  <c r="I1525" i="1"/>
  <c r="H1524" i="1"/>
  <c r="I1523" i="1"/>
  <c r="H1522" i="1"/>
  <c r="I1521" i="1"/>
  <c r="H1520" i="1"/>
  <c r="I1519" i="1"/>
  <c r="H1518" i="1"/>
  <c r="I1517" i="1"/>
  <c r="I1512" i="1"/>
  <c r="H1511" i="1"/>
  <c r="H1510" i="1"/>
  <c r="H1507" i="1"/>
  <c r="E1506" i="1"/>
  <c r="H1506" i="1" s="1"/>
  <c r="I1505" i="1"/>
  <c r="H1502" i="1"/>
  <c r="I1501" i="1"/>
  <c r="E1500" i="1"/>
  <c r="H1500" i="1" s="1"/>
  <c r="E1499" i="1"/>
  <c r="H1499" i="1" s="1"/>
  <c r="I1498" i="1"/>
  <c r="H1497" i="1"/>
  <c r="I1496" i="1"/>
  <c r="H1495" i="1"/>
  <c r="H1494" i="1"/>
  <c r="H1493" i="1"/>
  <c r="H1492" i="1"/>
  <c r="E1491" i="1"/>
  <c r="H1491" i="1" s="1"/>
  <c r="H1487" i="1"/>
  <c r="I1486" i="1"/>
  <c r="H1485" i="1"/>
  <c r="H1484" i="1"/>
  <c r="I1483" i="1"/>
  <c r="H1482" i="1"/>
  <c r="E1481" i="1"/>
  <c r="H1481" i="1" s="1"/>
  <c r="I1480" i="1"/>
  <c r="H1477" i="1"/>
  <c r="I1476" i="1"/>
  <c r="H1475" i="1"/>
  <c r="I1474" i="1"/>
  <c r="H1473" i="1"/>
  <c r="E1471" i="1"/>
  <c r="E1472" i="1" s="1"/>
  <c r="H1472" i="1" s="1"/>
  <c r="K1462" i="1"/>
  <c r="K1461" i="1"/>
  <c r="AI46" i="2"/>
  <c r="AI45" i="2"/>
  <c r="AI44" i="2"/>
  <c r="AI43" i="2"/>
  <c r="AI42" i="2"/>
  <c r="AI41" i="2"/>
  <c r="AI40" i="2"/>
  <c r="H1436" i="1"/>
  <c r="K1457" i="1" l="1"/>
  <c r="K1561" i="1"/>
  <c r="K1490" i="1"/>
  <c r="H1508" i="1"/>
  <c r="H1515" i="1"/>
  <c r="I1488" i="1"/>
  <c r="E1544" i="1"/>
  <c r="H1544" i="1" s="1"/>
  <c r="H1555" i="1" s="1"/>
  <c r="I1574" i="1"/>
  <c r="H1478" i="1"/>
  <c r="K1512" i="1"/>
  <c r="K1509" i="1"/>
  <c r="K1505" i="1" s="1"/>
  <c r="I1471" i="1"/>
  <c r="I1478" i="1" s="1"/>
  <c r="E1637" i="1"/>
  <c r="H1637" i="1" s="1"/>
  <c r="H1650" i="1" s="1"/>
  <c r="H1602" i="1"/>
  <c r="H1629" i="1"/>
  <c r="I1650" i="1"/>
  <c r="H1488" i="1"/>
  <c r="H1670" i="1"/>
  <c r="I1555" i="1"/>
  <c r="H1574" i="1"/>
  <c r="I1584" i="1"/>
  <c r="I1602" i="1" s="1"/>
  <c r="I1612" i="1"/>
  <c r="I1629" i="1" s="1"/>
  <c r="I1657" i="1"/>
  <c r="I1670" i="1" s="1"/>
  <c r="H1503" i="1"/>
  <c r="E1529" i="1"/>
  <c r="H1529" i="1" s="1"/>
  <c r="I1490" i="1"/>
  <c r="I1503" i="1" s="1"/>
  <c r="E1513" i="1"/>
  <c r="H1513" i="1" s="1"/>
  <c r="I1527" i="1"/>
  <c r="I1534" i="1" s="1"/>
  <c r="K1426" i="1"/>
  <c r="H1426" i="1"/>
  <c r="K1423" i="1"/>
  <c r="K1422" i="1"/>
  <c r="H1423" i="1"/>
  <c r="H1422" i="1"/>
  <c r="K1421" i="1"/>
  <c r="H1421" i="1"/>
  <c r="K1420" i="1"/>
  <c r="K1419" i="1"/>
  <c r="H1419" i="1"/>
  <c r="K1415" i="1"/>
  <c r="K1416" i="1"/>
  <c r="K1413" i="1"/>
  <c r="K1414" i="1"/>
  <c r="K1410" i="1"/>
  <c r="H1410" i="1"/>
  <c r="K1409" i="1"/>
  <c r="H1409" i="1"/>
  <c r="K1406" i="1"/>
  <c r="H1406" i="1"/>
  <c r="K1405" i="1"/>
  <c r="H1405" i="1"/>
  <c r="K1402" i="1"/>
  <c r="H1402" i="1"/>
  <c r="K1399" i="1"/>
  <c r="H1399" i="1"/>
  <c r="K1398" i="1"/>
  <c r="K1396" i="1"/>
  <c r="K1397" i="1"/>
  <c r="H1397" i="1"/>
  <c r="K1395" i="1"/>
  <c r="K1394" i="1"/>
  <c r="H1394" i="1"/>
  <c r="K1393" i="1"/>
  <c r="K1386" i="1"/>
  <c r="E1351" i="1"/>
  <c r="H1356" i="1"/>
  <c r="I1355" i="1"/>
  <c r="K1337" i="1"/>
  <c r="H1337" i="1"/>
  <c r="K1336" i="1"/>
  <c r="H1336" i="1"/>
  <c r="K1335" i="1"/>
  <c r="H1335" i="1"/>
  <c r="K1343" i="1"/>
  <c r="H1343" i="1"/>
  <c r="K1342" i="1"/>
  <c r="H1342" i="1"/>
  <c r="K1350" i="1"/>
  <c r="I1671" i="1" l="1"/>
  <c r="H1671" i="1"/>
  <c r="I1672" i="1" s="1"/>
  <c r="H1534" i="1"/>
  <c r="H1535" i="1" s="1"/>
  <c r="K1411" i="1"/>
  <c r="I1535" i="1"/>
  <c r="K1341" i="1"/>
  <c r="K1340" i="1"/>
  <c r="K1334" i="1"/>
  <c r="K1333" i="1"/>
  <c r="K1332" i="1"/>
  <c r="K1331" i="1"/>
  <c r="K1330" i="1"/>
  <c r="H1330" i="1"/>
  <c r="K1329" i="1"/>
  <c r="K1328" i="1"/>
  <c r="K1327" i="1"/>
  <c r="I1536" i="1" l="1"/>
  <c r="K1338" i="1"/>
  <c r="K1325" i="1"/>
  <c r="K1308" i="1"/>
  <c r="K1307" i="1"/>
  <c r="E1465" i="1"/>
  <c r="H1465" i="1" s="1"/>
  <c r="E1464" i="1"/>
  <c r="H1464" i="1" s="1"/>
  <c r="I1463" i="1"/>
  <c r="H1462" i="1"/>
  <c r="H1461" i="1"/>
  <c r="H1460" i="1"/>
  <c r="H1459" i="1"/>
  <c r="I1457" i="1"/>
  <c r="H1456" i="1"/>
  <c r="H1455" i="1"/>
  <c r="I1454" i="1"/>
  <c r="H1451" i="1"/>
  <c r="H1450" i="1"/>
  <c r="I1449" i="1"/>
  <c r="E1448" i="1"/>
  <c r="H1448" i="1" s="1"/>
  <c r="E1447" i="1"/>
  <c r="H1447" i="1" s="1"/>
  <c r="I1446" i="1"/>
  <c r="H1444" i="1"/>
  <c r="I1443" i="1"/>
  <c r="H1442" i="1"/>
  <c r="I1441" i="1"/>
  <c r="H1440" i="1"/>
  <c r="I1439" i="1"/>
  <c r="H1438" i="1"/>
  <c r="H1437" i="1"/>
  <c r="H1435" i="1"/>
  <c r="I1434" i="1"/>
  <c r="K1433" i="1"/>
  <c r="H1433" i="1"/>
  <c r="K1432" i="1"/>
  <c r="H1432" i="1"/>
  <c r="K1431" i="1"/>
  <c r="H1431" i="1"/>
  <c r="K1430" i="1"/>
  <c r="F1430" i="1"/>
  <c r="H1430" i="1" s="1"/>
  <c r="K1429" i="1"/>
  <c r="H1429" i="1"/>
  <c r="E1428" i="1"/>
  <c r="H1428" i="1" s="1"/>
  <c r="I1427" i="1"/>
  <c r="K1425" i="1"/>
  <c r="H1425" i="1"/>
  <c r="K1424" i="1"/>
  <c r="H1424" i="1"/>
  <c r="H1420" i="1"/>
  <c r="E1418" i="1"/>
  <c r="H1418" i="1" s="1"/>
  <c r="I1417" i="1"/>
  <c r="H1416" i="1"/>
  <c r="H1415" i="1"/>
  <c r="H1414" i="1"/>
  <c r="H1413" i="1"/>
  <c r="E1412" i="1"/>
  <c r="H1412" i="1" s="1"/>
  <c r="I1411" i="1"/>
  <c r="K1408" i="1"/>
  <c r="H1408" i="1"/>
  <c r="K1407" i="1"/>
  <c r="H1407" i="1"/>
  <c r="K1404" i="1"/>
  <c r="H1404" i="1"/>
  <c r="K1403" i="1"/>
  <c r="H1403" i="1"/>
  <c r="K1401" i="1"/>
  <c r="H1401" i="1"/>
  <c r="K1400" i="1"/>
  <c r="H1400" i="1"/>
  <c r="H1398" i="1"/>
  <c r="H1396" i="1"/>
  <c r="H1393" i="1"/>
  <c r="K1390" i="1"/>
  <c r="H1390" i="1"/>
  <c r="K1389" i="1"/>
  <c r="H1389" i="1"/>
  <c r="K1388" i="1"/>
  <c r="H1388" i="1"/>
  <c r="K1387" i="1"/>
  <c r="H1387" i="1"/>
  <c r="H1386" i="1"/>
  <c r="E1385" i="1"/>
  <c r="H1385" i="1" s="1"/>
  <c r="I1384" i="1"/>
  <c r="H1383" i="1"/>
  <c r="K1382" i="1"/>
  <c r="H1382" i="1"/>
  <c r="K1381" i="1"/>
  <c r="H1381" i="1"/>
  <c r="H1380" i="1"/>
  <c r="E1379" i="1"/>
  <c r="H1379" i="1" s="1"/>
  <c r="I1378" i="1"/>
  <c r="K1377" i="1"/>
  <c r="H1377" i="1"/>
  <c r="K1376" i="1"/>
  <c r="H1376" i="1"/>
  <c r="K1375" i="1"/>
  <c r="H1375" i="1"/>
  <c r="H1374" i="1"/>
  <c r="E1373" i="1"/>
  <c r="H1373" i="1" s="1"/>
  <c r="I1372" i="1"/>
  <c r="H1369" i="1"/>
  <c r="H1368" i="1"/>
  <c r="I1367" i="1"/>
  <c r="E1366" i="1"/>
  <c r="H1366" i="1" s="1"/>
  <c r="E1365" i="1"/>
  <c r="H1365" i="1" s="1"/>
  <c r="I1364" i="1"/>
  <c r="I1363" i="1"/>
  <c r="H1362" i="1"/>
  <c r="I1361" i="1"/>
  <c r="H1360" i="1"/>
  <c r="I1359" i="1"/>
  <c r="H1358" i="1"/>
  <c r="I1357" i="1"/>
  <c r="H1354" i="1"/>
  <c r="H1353" i="1"/>
  <c r="H1352" i="1"/>
  <c r="I1351" i="1"/>
  <c r="H1350" i="1"/>
  <c r="K1349" i="1"/>
  <c r="H1349" i="1"/>
  <c r="K1348" i="1"/>
  <c r="H1348" i="1"/>
  <c r="K1347" i="1"/>
  <c r="H1347" i="1"/>
  <c r="K1346" i="1"/>
  <c r="H1346" i="1"/>
  <c r="E1345" i="1"/>
  <c r="H1345" i="1" s="1"/>
  <c r="I1344" i="1"/>
  <c r="H1341" i="1"/>
  <c r="H1340" i="1"/>
  <c r="E1339" i="1"/>
  <c r="H1339" i="1" s="1"/>
  <c r="I1338" i="1"/>
  <c r="H1334" i="1"/>
  <c r="H1333" i="1"/>
  <c r="H1332" i="1"/>
  <c r="H1331" i="1"/>
  <c r="H1329" i="1"/>
  <c r="H1328" i="1"/>
  <c r="H1327" i="1"/>
  <c r="E1326" i="1"/>
  <c r="H1326" i="1" s="1"/>
  <c r="I1325" i="1"/>
  <c r="K1324" i="1"/>
  <c r="H1324" i="1"/>
  <c r="K1323" i="1"/>
  <c r="H1323" i="1"/>
  <c r="K1322" i="1"/>
  <c r="H1322" i="1"/>
  <c r="K1321" i="1"/>
  <c r="H1321" i="1"/>
  <c r="K1320" i="1"/>
  <c r="H1320" i="1"/>
  <c r="K1319" i="1"/>
  <c r="H1319" i="1"/>
  <c r="K1318" i="1"/>
  <c r="H1318" i="1"/>
  <c r="K1317" i="1"/>
  <c r="H1317" i="1"/>
  <c r="K1316" i="1"/>
  <c r="H1316" i="1"/>
  <c r="K1315" i="1"/>
  <c r="K1313" i="1" s="1"/>
  <c r="H1315" i="1"/>
  <c r="E1314" i="1"/>
  <c r="H1314" i="1" s="1"/>
  <c r="I1313" i="1"/>
  <c r="K1312" i="1"/>
  <c r="H1312" i="1"/>
  <c r="K1311" i="1"/>
  <c r="H1311" i="1"/>
  <c r="H1310" i="1"/>
  <c r="K1309" i="1"/>
  <c r="H1309" i="1"/>
  <c r="H1308" i="1"/>
  <c r="H1307" i="1"/>
  <c r="E1306" i="1"/>
  <c r="H1306" i="1" s="1"/>
  <c r="I1305" i="1"/>
  <c r="H1304" i="1"/>
  <c r="K1303" i="1"/>
  <c r="H1303" i="1"/>
  <c r="K1302" i="1"/>
  <c r="H1302" i="1"/>
  <c r="H1301" i="1"/>
  <c r="E1300" i="1"/>
  <c r="H1300" i="1" s="1"/>
  <c r="K1298" i="1"/>
  <c r="H1298" i="1"/>
  <c r="K1297" i="1"/>
  <c r="H1297" i="1"/>
  <c r="K1296" i="1"/>
  <c r="H1296" i="1"/>
  <c r="H1295" i="1"/>
  <c r="E1294" i="1"/>
  <c r="H1294" i="1" s="1"/>
  <c r="I1293" i="1"/>
  <c r="H1290" i="1"/>
  <c r="H1291" i="1" s="1"/>
  <c r="I1289" i="1"/>
  <c r="I1291" i="1" s="1"/>
  <c r="K1228" i="1"/>
  <c r="K1227" i="1"/>
  <c r="K1226" i="1"/>
  <c r="K1225" i="1"/>
  <c r="K1198" i="1"/>
  <c r="K1197" i="1"/>
  <c r="K1196" i="1"/>
  <c r="K1195" i="1"/>
  <c r="E1261" i="1"/>
  <c r="H1261" i="1" s="1"/>
  <c r="E1260" i="1"/>
  <c r="H1260" i="1" s="1"/>
  <c r="I1259" i="1"/>
  <c r="H1258" i="1"/>
  <c r="I1257" i="1"/>
  <c r="K1256" i="1"/>
  <c r="H1256" i="1"/>
  <c r="E1255" i="1"/>
  <c r="H1255" i="1" s="1"/>
  <c r="I1254" i="1"/>
  <c r="K1253" i="1"/>
  <c r="H1253" i="1"/>
  <c r="K1252" i="1"/>
  <c r="H1252" i="1"/>
  <c r="K1251" i="1"/>
  <c r="H1251" i="1"/>
  <c r="K1250" i="1"/>
  <c r="H1250" i="1"/>
  <c r="K1249" i="1"/>
  <c r="H1249" i="1"/>
  <c r="K1248" i="1"/>
  <c r="H1248" i="1"/>
  <c r="E1247" i="1"/>
  <c r="H1247" i="1" s="1"/>
  <c r="I1246" i="1"/>
  <c r="I1245" i="1"/>
  <c r="H1244" i="1"/>
  <c r="I1243" i="1"/>
  <c r="H1242" i="1"/>
  <c r="I1241" i="1"/>
  <c r="E1282" i="1"/>
  <c r="H1282" i="1" s="1"/>
  <c r="E1281" i="1"/>
  <c r="H1281" i="1" s="1"/>
  <c r="I1280" i="1"/>
  <c r="H1279" i="1"/>
  <c r="I1278" i="1"/>
  <c r="K1277" i="1"/>
  <c r="H1277" i="1"/>
  <c r="K1276" i="1"/>
  <c r="H1276" i="1"/>
  <c r="K1275" i="1"/>
  <c r="H1275" i="1"/>
  <c r="K1274" i="1"/>
  <c r="H1274" i="1"/>
  <c r="K1273" i="1"/>
  <c r="H1273" i="1"/>
  <c r="K1272" i="1"/>
  <c r="H1272" i="1"/>
  <c r="K1271" i="1"/>
  <c r="H1271" i="1"/>
  <c r="E1270" i="1"/>
  <c r="H1270" i="1" s="1"/>
  <c r="I1269" i="1"/>
  <c r="I1268" i="1"/>
  <c r="H1267" i="1"/>
  <c r="I1266" i="1"/>
  <c r="H1265" i="1"/>
  <c r="I1264" i="1"/>
  <c r="E1238" i="1"/>
  <c r="H1238" i="1" s="1"/>
  <c r="E1237" i="1"/>
  <c r="H1237" i="1" s="1"/>
  <c r="I1236" i="1"/>
  <c r="H1235" i="1"/>
  <c r="H1234" i="1"/>
  <c r="K1233" i="1"/>
  <c r="K1230" i="1" s="1"/>
  <c r="H1233" i="1"/>
  <c r="H1232" i="1"/>
  <c r="E1231" i="1"/>
  <c r="H1231" i="1" s="1"/>
  <c r="I1230" i="1"/>
  <c r="H1229" i="1"/>
  <c r="H1228" i="1"/>
  <c r="H1227" i="1"/>
  <c r="H1226" i="1"/>
  <c r="H1225" i="1"/>
  <c r="E1224" i="1"/>
  <c r="H1224" i="1" s="1"/>
  <c r="I1223" i="1"/>
  <c r="K1222" i="1"/>
  <c r="H1222" i="1"/>
  <c r="K1221" i="1"/>
  <c r="H1221" i="1"/>
  <c r="E1220" i="1"/>
  <c r="H1220" i="1" s="1"/>
  <c r="H1218" i="1"/>
  <c r="I1217" i="1"/>
  <c r="H1216" i="1"/>
  <c r="I1215" i="1"/>
  <c r="I1214" i="1"/>
  <c r="H1213" i="1"/>
  <c r="H1212" i="1"/>
  <c r="I1211" i="1"/>
  <c r="E1208" i="1"/>
  <c r="H1208" i="1" s="1"/>
  <c r="E1207" i="1"/>
  <c r="H1207" i="1" s="1"/>
  <c r="I1206" i="1"/>
  <c r="H1205" i="1"/>
  <c r="H1204" i="1"/>
  <c r="K1203" i="1"/>
  <c r="K1200" i="1" s="1"/>
  <c r="H1203" i="1"/>
  <c r="H1202" i="1"/>
  <c r="E1201" i="1"/>
  <c r="H1201" i="1" s="1"/>
  <c r="I1200" i="1"/>
  <c r="H1199" i="1"/>
  <c r="H1198" i="1"/>
  <c r="H1197" i="1"/>
  <c r="H1196" i="1"/>
  <c r="H1195" i="1"/>
  <c r="E1194" i="1"/>
  <c r="H1194" i="1" s="1"/>
  <c r="I1193" i="1"/>
  <c r="K1192" i="1"/>
  <c r="H1192" i="1"/>
  <c r="K1191" i="1"/>
  <c r="H1191" i="1"/>
  <c r="E1190" i="1"/>
  <c r="H1190" i="1" s="1"/>
  <c r="I1189" i="1"/>
  <c r="H1188" i="1"/>
  <c r="I1187" i="1"/>
  <c r="H1186" i="1"/>
  <c r="I1185" i="1"/>
  <c r="I1184" i="1"/>
  <c r="H1183" i="1"/>
  <c r="H1182" i="1"/>
  <c r="I1181" i="1"/>
  <c r="H1178" i="1"/>
  <c r="H1177" i="1"/>
  <c r="I1176" i="1"/>
  <c r="E1175" i="1"/>
  <c r="H1175" i="1" s="1"/>
  <c r="E1174" i="1"/>
  <c r="H1174" i="1" s="1"/>
  <c r="I1173" i="1"/>
  <c r="K1172" i="1"/>
  <c r="H1172" i="1"/>
  <c r="H1171" i="1"/>
  <c r="H1170" i="1"/>
  <c r="K1169" i="1"/>
  <c r="H1169" i="1"/>
  <c r="H1168" i="1"/>
  <c r="E1167" i="1"/>
  <c r="H1167" i="1" s="1"/>
  <c r="I1166" i="1"/>
  <c r="I1165" i="1"/>
  <c r="H1164" i="1"/>
  <c r="H1163" i="1"/>
  <c r="I1162" i="1"/>
  <c r="E1159" i="1"/>
  <c r="H1159" i="1" s="1"/>
  <c r="E1158" i="1"/>
  <c r="H1158" i="1" s="1"/>
  <c r="I1157" i="1"/>
  <c r="H1156" i="1"/>
  <c r="H1155" i="1"/>
  <c r="I1154" i="1"/>
  <c r="H1153" i="1"/>
  <c r="H1152" i="1"/>
  <c r="K1151" i="1"/>
  <c r="H1151" i="1"/>
  <c r="H1150" i="1"/>
  <c r="E1149" i="1"/>
  <c r="H1149" i="1" s="1"/>
  <c r="I1148" i="1"/>
  <c r="I1147" i="1"/>
  <c r="H1146" i="1"/>
  <c r="H1145" i="1"/>
  <c r="I1144" i="1"/>
  <c r="E1116" i="1"/>
  <c r="K1116" i="1" s="1"/>
  <c r="E1107" i="1"/>
  <c r="H1107" i="1" s="1"/>
  <c r="K1117" i="1"/>
  <c r="E1112" i="1"/>
  <c r="H1112" i="1" s="1"/>
  <c r="E1101" i="1"/>
  <c r="H1101" i="1" s="1"/>
  <c r="E1138" i="1"/>
  <c r="H1138" i="1" s="1"/>
  <c r="E1137" i="1"/>
  <c r="H1137" i="1" s="1"/>
  <c r="K1136" i="1"/>
  <c r="I1136" i="1"/>
  <c r="H1135" i="1"/>
  <c r="H1134" i="1"/>
  <c r="I1133" i="1"/>
  <c r="H1132" i="1"/>
  <c r="H1131" i="1"/>
  <c r="I1130" i="1"/>
  <c r="H1129" i="1"/>
  <c r="I1128" i="1"/>
  <c r="H1127" i="1"/>
  <c r="I1126" i="1"/>
  <c r="H1125" i="1"/>
  <c r="I1124" i="1"/>
  <c r="E1123" i="1"/>
  <c r="H1123" i="1" s="1"/>
  <c r="I1122" i="1"/>
  <c r="H1121" i="1"/>
  <c r="H1120" i="1"/>
  <c r="I1119" i="1"/>
  <c r="K1118" i="1"/>
  <c r="H1118" i="1"/>
  <c r="H1115" i="1"/>
  <c r="H1114" i="1"/>
  <c r="H1113" i="1"/>
  <c r="E1111" i="1"/>
  <c r="H1111" i="1" s="1"/>
  <c r="I1110" i="1"/>
  <c r="K1109" i="1"/>
  <c r="H1109" i="1"/>
  <c r="K1108" i="1"/>
  <c r="H1108" i="1"/>
  <c r="E1106" i="1"/>
  <c r="K1106" i="1" s="1"/>
  <c r="K1105" i="1"/>
  <c r="E1105" i="1"/>
  <c r="H1105" i="1" s="1"/>
  <c r="K1104" i="1"/>
  <c r="E1104" i="1"/>
  <c r="H1104" i="1" s="1"/>
  <c r="H1103" i="1"/>
  <c r="H1102" i="1"/>
  <c r="E1100" i="1"/>
  <c r="H1100" i="1" s="1"/>
  <c r="I1099" i="1"/>
  <c r="K1085" i="1"/>
  <c r="K1083" i="1"/>
  <c r="K1084" i="1"/>
  <c r="K1062" i="1"/>
  <c r="K1055" i="1"/>
  <c r="H1096" i="1"/>
  <c r="I1095" i="1"/>
  <c r="H1094" i="1"/>
  <c r="I1093" i="1"/>
  <c r="E1092" i="1"/>
  <c r="H1092" i="1" s="1"/>
  <c r="E1091" i="1"/>
  <c r="H1091" i="1" s="1"/>
  <c r="I1090" i="1"/>
  <c r="H1089" i="1"/>
  <c r="H1088" i="1"/>
  <c r="I1087" i="1"/>
  <c r="H1086" i="1"/>
  <c r="H1085" i="1"/>
  <c r="H1084" i="1"/>
  <c r="H1083" i="1"/>
  <c r="E1081" i="1"/>
  <c r="E1082" i="1" s="1"/>
  <c r="H1082" i="1" s="1"/>
  <c r="H1080" i="1"/>
  <c r="E1079" i="1"/>
  <c r="H1079" i="1" s="1"/>
  <c r="I1078" i="1"/>
  <c r="H1075" i="1"/>
  <c r="I1074" i="1"/>
  <c r="H1073" i="1"/>
  <c r="H1072" i="1"/>
  <c r="I1071" i="1"/>
  <c r="H1070" i="1"/>
  <c r="E1069" i="1"/>
  <c r="H1069" i="1" s="1"/>
  <c r="I1068" i="1"/>
  <c r="H1065" i="1"/>
  <c r="H1064" i="1"/>
  <c r="I1063" i="1"/>
  <c r="H1062" i="1"/>
  <c r="E1061" i="1"/>
  <c r="H1061" i="1" s="1"/>
  <c r="I1060" i="1"/>
  <c r="H1059" i="1"/>
  <c r="H1058" i="1"/>
  <c r="I1057" i="1"/>
  <c r="H1056" i="1"/>
  <c r="H1055" i="1"/>
  <c r="E1054" i="1"/>
  <c r="H1054" i="1" s="1"/>
  <c r="I1053" i="1"/>
  <c r="H1052" i="1"/>
  <c r="I1051" i="1"/>
  <c r="H1050" i="1"/>
  <c r="I1049" i="1"/>
  <c r="H1048" i="1"/>
  <c r="E1046" i="1"/>
  <c r="I1046" i="1" s="1"/>
  <c r="AI34" i="2"/>
  <c r="AI33" i="2"/>
  <c r="AI32" i="2"/>
  <c r="AI31" i="2"/>
  <c r="AI30" i="2"/>
  <c r="AI29" i="2"/>
  <c r="AI28" i="2"/>
  <c r="K1000" i="1"/>
  <c r="K999" i="1"/>
  <c r="K995" i="1"/>
  <c r="K994" i="1"/>
  <c r="K993" i="1"/>
  <c r="K989" i="1"/>
  <c r="K988" i="1"/>
  <c r="K986" i="1"/>
  <c r="K984" i="1"/>
  <c r="K981" i="1"/>
  <c r="H981" i="1"/>
  <c r="K1427" i="1" l="1"/>
  <c r="K1305" i="1"/>
  <c r="K1384" i="1"/>
  <c r="K1417" i="1"/>
  <c r="K1344" i="1"/>
  <c r="K1391" i="1"/>
  <c r="K1372" i="1"/>
  <c r="K1378" i="1"/>
  <c r="E1458" i="1"/>
  <c r="H1458" i="1" s="1"/>
  <c r="H1466" i="1" s="1"/>
  <c r="K1269" i="1"/>
  <c r="E1392" i="1"/>
  <c r="H1392" i="1" s="1"/>
  <c r="K1166" i="1"/>
  <c r="K1246" i="1"/>
  <c r="I1466" i="1"/>
  <c r="K1293" i="1"/>
  <c r="H1370" i="1"/>
  <c r="I1391" i="1"/>
  <c r="I1452" i="1" s="1"/>
  <c r="I1299" i="1"/>
  <c r="I1370" i="1" s="1"/>
  <c r="H1395" i="1"/>
  <c r="K1223" i="1"/>
  <c r="K1219" i="1"/>
  <c r="I1262" i="1"/>
  <c r="K1193" i="1"/>
  <c r="I1160" i="1"/>
  <c r="H1160" i="1"/>
  <c r="I1283" i="1"/>
  <c r="H1283" i="1"/>
  <c r="H1262" i="1"/>
  <c r="K1189" i="1"/>
  <c r="I1209" i="1"/>
  <c r="I1179" i="1"/>
  <c r="H1179" i="1"/>
  <c r="H1209" i="1"/>
  <c r="H1239" i="1"/>
  <c r="I1219" i="1"/>
  <c r="I1239" i="1" s="1"/>
  <c r="E1047" i="1"/>
  <c r="H1047" i="1" s="1"/>
  <c r="H1066" i="1" s="1"/>
  <c r="H1106" i="1"/>
  <c r="I1081" i="1"/>
  <c r="I1097" i="1" s="1"/>
  <c r="K1107" i="1"/>
  <c r="K1099" i="1" s="1"/>
  <c r="I1139" i="1"/>
  <c r="K1110" i="1"/>
  <c r="H1117" i="1"/>
  <c r="H1116" i="1"/>
  <c r="H1097" i="1"/>
  <c r="I1076" i="1"/>
  <c r="H1076" i="1"/>
  <c r="I1066" i="1"/>
  <c r="K980" i="1"/>
  <c r="K979" i="1"/>
  <c r="K976" i="1"/>
  <c r="K977" i="1"/>
  <c r="K969" i="1"/>
  <c r="K970" i="1"/>
  <c r="H970" i="1"/>
  <c r="K967" i="1"/>
  <c r="K925" i="1"/>
  <c r="K924" i="1"/>
  <c r="K923" i="1"/>
  <c r="H924" i="1"/>
  <c r="H923" i="1"/>
  <c r="K920" i="1"/>
  <c r="H920" i="1"/>
  <c r="K922" i="1"/>
  <c r="H922" i="1"/>
  <c r="K916" i="1"/>
  <c r="K915" i="1"/>
  <c r="K914" i="1"/>
  <c r="K913" i="1"/>
  <c r="K910" i="1"/>
  <c r="K909" i="1"/>
  <c r="K908" i="1"/>
  <c r="K906" i="1"/>
  <c r="K901" i="1"/>
  <c r="K904" i="1"/>
  <c r="K902" i="1"/>
  <c r="K900" i="1"/>
  <c r="K898" i="1"/>
  <c r="K880" i="1"/>
  <c r="H880" i="1"/>
  <c r="K885" i="1"/>
  <c r="H885" i="1"/>
  <c r="K878" i="1"/>
  <c r="H878" i="1"/>
  <c r="E1040" i="1"/>
  <c r="H1040" i="1" s="1"/>
  <c r="E1039" i="1"/>
  <c r="H1039" i="1" s="1"/>
  <c r="I1038" i="1"/>
  <c r="K1037" i="1"/>
  <c r="H1037" i="1"/>
  <c r="K1036" i="1"/>
  <c r="H1036" i="1"/>
  <c r="H1035" i="1"/>
  <c r="H1034" i="1"/>
  <c r="E1033" i="1"/>
  <c r="H1033" i="1" s="1"/>
  <c r="I1032" i="1"/>
  <c r="H1031" i="1"/>
  <c r="H1030" i="1"/>
  <c r="I1029" i="1"/>
  <c r="H1026" i="1"/>
  <c r="H1025" i="1"/>
  <c r="I1024" i="1"/>
  <c r="E1023" i="1"/>
  <c r="H1023" i="1" s="1"/>
  <c r="E1022" i="1"/>
  <c r="H1022" i="1" s="1"/>
  <c r="I1021" i="1"/>
  <c r="I1020" i="1"/>
  <c r="H1019" i="1"/>
  <c r="I1018" i="1"/>
  <c r="H1017" i="1"/>
  <c r="I1016" i="1"/>
  <c r="H1015" i="1"/>
  <c r="I1014" i="1"/>
  <c r="H1013" i="1"/>
  <c r="I1012" i="1"/>
  <c r="H1011" i="1"/>
  <c r="H1010" i="1"/>
  <c r="H1009" i="1"/>
  <c r="I1008" i="1"/>
  <c r="K1007" i="1"/>
  <c r="H1007" i="1"/>
  <c r="K1006" i="1"/>
  <c r="H1006" i="1"/>
  <c r="K1005" i="1"/>
  <c r="H1005" i="1"/>
  <c r="K1004" i="1"/>
  <c r="H1004" i="1"/>
  <c r="K1003" i="1"/>
  <c r="H1003" i="1"/>
  <c r="E1002" i="1"/>
  <c r="H1002" i="1" s="1"/>
  <c r="I1001" i="1"/>
  <c r="H1000" i="1"/>
  <c r="H999" i="1"/>
  <c r="K998" i="1"/>
  <c r="K996" i="1" s="1"/>
  <c r="H998" i="1"/>
  <c r="E997" i="1"/>
  <c r="H997" i="1" s="1"/>
  <c r="I996" i="1"/>
  <c r="H995" i="1"/>
  <c r="H994" i="1"/>
  <c r="H993" i="1"/>
  <c r="K992" i="1"/>
  <c r="K990" i="1" s="1"/>
  <c r="H992" i="1"/>
  <c r="E991" i="1"/>
  <c r="H991" i="1" s="1"/>
  <c r="I990" i="1"/>
  <c r="H989" i="1"/>
  <c r="H988" i="1"/>
  <c r="K987" i="1"/>
  <c r="H987" i="1"/>
  <c r="H986" i="1"/>
  <c r="K985" i="1"/>
  <c r="H985" i="1"/>
  <c r="H984" i="1"/>
  <c r="K983" i="1"/>
  <c r="H983" i="1"/>
  <c r="K982" i="1"/>
  <c r="H982" i="1"/>
  <c r="H980" i="1"/>
  <c r="H979" i="1"/>
  <c r="K978" i="1"/>
  <c r="H978" i="1"/>
  <c r="H977" i="1"/>
  <c r="H976" i="1"/>
  <c r="K975" i="1"/>
  <c r="H975" i="1"/>
  <c r="E974" i="1"/>
  <c r="H974" i="1" s="1"/>
  <c r="I973" i="1"/>
  <c r="K972" i="1"/>
  <c r="H972" i="1"/>
  <c r="K971" i="1"/>
  <c r="H971" i="1"/>
  <c r="H969" i="1"/>
  <c r="K968" i="1"/>
  <c r="H968" i="1"/>
  <c r="H967" i="1"/>
  <c r="K966" i="1"/>
  <c r="H966" i="1"/>
  <c r="E965" i="1"/>
  <c r="H965" i="1" s="1"/>
  <c r="I964" i="1"/>
  <c r="H963" i="1"/>
  <c r="K962" i="1"/>
  <c r="H962" i="1"/>
  <c r="K961" i="1"/>
  <c r="H961" i="1"/>
  <c r="H960" i="1"/>
  <c r="E959" i="1"/>
  <c r="H959" i="1" s="1"/>
  <c r="I958" i="1"/>
  <c r="K957" i="1"/>
  <c r="H957" i="1"/>
  <c r="K956" i="1"/>
  <c r="H956" i="1"/>
  <c r="K955" i="1"/>
  <c r="H955" i="1"/>
  <c r="H954" i="1"/>
  <c r="E953" i="1"/>
  <c r="H953" i="1" s="1"/>
  <c r="I952" i="1"/>
  <c r="H949" i="1"/>
  <c r="H948" i="1"/>
  <c r="I947" i="1"/>
  <c r="E946" i="1"/>
  <c r="H946" i="1" s="1"/>
  <c r="E945" i="1"/>
  <c r="H945" i="1" s="1"/>
  <c r="I944" i="1"/>
  <c r="I943" i="1"/>
  <c r="H942" i="1"/>
  <c r="I941" i="1"/>
  <c r="H940" i="1"/>
  <c r="I939" i="1"/>
  <c r="H938" i="1"/>
  <c r="I937" i="1"/>
  <c r="H936" i="1"/>
  <c r="H935" i="1"/>
  <c r="H934" i="1"/>
  <c r="I933" i="1"/>
  <c r="K932" i="1"/>
  <c r="H932" i="1"/>
  <c r="K931" i="1"/>
  <c r="H931" i="1"/>
  <c r="K930" i="1"/>
  <c r="H930" i="1"/>
  <c r="K929" i="1"/>
  <c r="H929" i="1"/>
  <c r="K928" i="1"/>
  <c r="H928" i="1"/>
  <c r="E927" i="1"/>
  <c r="H927" i="1" s="1"/>
  <c r="I926" i="1"/>
  <c r="H925" i="1"/>
  <c r="K921" i="1"/>
  <c r="H921" i="1"/>
  <c r="K919" i="1"/>
  <c r="H919" i="1"/>
  <c r="E918" i="1"/>
  <c r="H918" i="1" s="1"/>
  <c r="I917" i="1"/>
  <c r="H916" i="1"/>
  <c r="H915" i="1"/>
  <c r="H914" i="1"/>
  <c r="H913" i="1"/>
  <c r="E912" i="1"/>
  <c r="H912" i="1" s="1"/>
  <c r="I911" i="1"/>
  <c r="H910" i="1"/>
  <c r="H909" i="1"/>
  <c r="H908" i="1"/>
  <c r="K907" i="1"/>
  <c r="H907" i="1"/>
  <c r="H906" i="1"/>
  <c r="K905" i="1"/>
  <c r="H905" i="1"/>
  <c r="H904" i="1"/>
  <c r="K903" i="1"/>
  <c r="H903" i="1"/>
  <c r="H902" i="1"/>
  <c r="H901" i="1"/>
  <c r="H900" i="1"/>
  <c r="K899" i="1"/>
  <c r="H899" i="1"/>
  <c r="H898" i="1"/>
  <c r="K897" i="1"/>
  <c r="H897" i="1"/>
  <c r="E896" i="1"/>
  <c r="H896" i="1" s="1"/>
  <c r="I895" i="1"/>
  <c r="K894" i="1"/>
  <c r="H894" i="1"/>
  <c r="K893" i="1"/>
  <c r="H893" i="1"/>
  <c r="K892" i="1"/>
  <c r="H892" i="1"/>
  <c r="K891" i="1"/>
  <c r="H891" i="1"/>
  <c r="K890" i="1"/>
  <c r="H890" i="1"/>
  <c r="E889" i="1"/>
  <c r="H889" i="1" s="1"/>
  <c r="I888" i="1"/>
  <c r="H887" i="1"/>
  <c r="K886" i="1"/>
  <c r="H886" i="1"/>
  <c r="K884" i="1"/>
  <c r="H884" i="1"/>
  <c r="H883" i="1"/>
  <c r="E882" i="1"/>
  <c r="H882" i="1" s="1"/>
  <c r="K879" i="1"/>
  <c r="H879" i="1"/>
  <c r="K877" i="1"/>
  <c r="H877" i="1"/>
  <c r="K876" i="1"/>
  <c r="H876" i="1"/>
  <c r="H875" i="1"/>
  <c r="E874" i="1"/>
  <c r="H874" i="1" s="1"/>
  <c r="I873" i="1"/>
  <c r="H870" i="1"/>
  <c r="H871" i="1" s="1"/>
  <c r="I869" i="1"/>
  <c r="I871" i="1" s="1"/>
  <c r="K853" i="1"/>
  <c r="K852" i="1"/>
  <c r="K851" i="1"/>
  <c r="K850" i="1"/>
  <c r="K857" i="1"/>
  <c r="K849" i="1"/>
  <c r="K854" i="1"/>
  <c r="K834" i="1"/>
  <c r="K833" i="1"/>
  <c r="K832" i="1"/>
  <c r="K831" i="1"/>
  <c r="K830" i="1"/>
  <c r="K829" i="1"/>
  <c r="K828" i="1"/>
  <c r="H829" i="1"/>
  <c r="K808" i="1"/>
  <c r="K807" i="1"/>
  <c r="K813" i="1"/>
  <c r="K810" i="1" s="1"/>
  <c r="K806" i="1"/>
  <c r="K805" i="1"/>
  <c r="E799" i="1"/>
  <c r="K802" i="1"/>
  <c r="K801" i="1"/>
  <c r="K783" i="1"/>
  <c r="K776" i="1"/>
  <c r="K775" i="1"/>
  <c r="K772" i="1"/>
  <c r="K771" i="1"/>
  <c r="K752" i="1"/>
  <c r="K749" i="1"/>
  <c r="K731" i="1"/>
  <c r="I703" i="1"/>
  <c r="I701" i="1"/>
  <c r="K697" i="1"/>
  <c r="E696" i="1"/>
  <c r="K696" i="1" s="1"/>
  <c r="E695" i="1"/>
  <c r="K695" i="1" s="1"/>
  <c r="E693" i="1"/>
  <c r="E691" i="1"/>
  <c r="E686" i="1"/>
  <c r="K686" i="1" s="1"/>
  <c r="E685" i="1"/>
  <c r="K685" i="1" s="1"/>
  <c r="E684" i="1"/>
  <c r="K684" i="1" s="1"/>
  <c r="E679" i="1"/>
  <c r="K663" i="1"/>
  <c r="K662" i="1"/>
  <c r="K661" i="1"/>
  <c r="K658" i="1"/>
  <c r="K640" i="1"/>
  <c r="H630" i="1"/>
  <c r="I629" i="1"/>
  <c r="H628" i="1"/>
  <c r="I627" i="1"/>
  <c r="K615" i="1"/>
  <c r="K614" i="1"/>
  <c r="AI22" i="2"/>
  <c r="AI21" i="2"/>
  <c r="AI20" i="2"/>
  <c r="AI19" i="2"/>
  <c r="AI18" i="2"/>
  <c r="AI17" i="2"/>
  <c r="AI16" i="2"/>
  <c r="I594" i="1"/>
  <c r="I592" i="1"/>
  <c r="H591" i="1"/>
  <c r="I590" i="1"/>
  <c r="K583" i="1"/>
  <c r="K584" i="1"/>
  <c r="K585" i="1"/>
  <c r="K582" i="1"/>
  <c r="K581" i="1"/>
  <c r="H585" i="1"/>
  <c r="H584" i="1"/>
  <c r="H583" i="1"/>
  <c r="H582" i="1"/>
  <c r="H581" i="1"/>
  <c r="E580" i="1"/>
  <c r="H580" i="1" s="1"/>
  <c r="I579" i="1"/>
  <c r="K576" i="1"/>
  <c r="K575" i="1"/>
  <c r="K574" i="1"/>
  <c r="H577" i="1"/>
  <c r="H576" i="1"/>
  <c r="K573" i="1"/>
  <c r="K572" i="1"/>
  <c r="K569" i="1"/>
  <c r="K568" i="1"/>
  <c r="K567" i="1"/>
  <c r="K566" i="1"/>
  <c r="K565" i="1"/>
  <c r="K564" i="1"/>
  <c r="K563" i="1"/>
  <c r="K562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5" i="1"/>
  <c r="K544" i="1"/>
  <c r="K543" i="1"/>
  <c r="K542" i="1"/>
  <c r="K541" i="1"/>
  <c r="K537" i="1"/>
  <c r="K535" i="1"/>
  <c r="K536" i="1"/>
  <c r="H1452" i="1" l="1"/>
  <c r="H1467" i="1" s="1"/>
  <c r="I1467" i="1"/>
  <c r="H1284" i="1"/>
  <c r="I1284" i="1"/>
  <c r="K873" i="1"/>
  <c r="K881" i="1"/>
  <c r="K888" i="1"/>
  <c r="I1140" i="1"/>
  <c r="K917" i="1"/>
  <c r="H1139" i="1"/>
  <c r="H1140" i="1" s="1"/>
  <c r="K964" i="1"/>
  <c r="K973" i="1"/>
  <c r="K895" i="1"/>
  <c r="K958" i="1"/>
  <c r="I1041" i="1"/>
  <c r="K769" i="1"/>
  <c r="K926" i="1"/>
  <c r="K911" i="1"/>
  <c r="K952" i="1"/>
  <c r="H1027" i="1"/>
  <c r="I1027" i="1"/>
  <c r="H950" i="1"/>
  <c r="H1041" i="1"/>
  <c r="I881" i="1"/>
  <c r="I950" i="1" s="1"/>
  <c r="K746" i="1"/>
  <c r="K689" i="1"/>
  <c r="K533" i="1"/>
  <c r="K539" i="1"/>
  <c r="K546" i="1"/>
  <c r="K560" i="1"/>
  <c r="K570" i="1"/>
  <c r="K532" i="1"/>
  <c r="K531" i="1"/>
  <c r="K530" i="1"/>
  <c r="H515" i="1"/>
  <c r="I514" i="1"/>
  <c r="H513" i="1"/>
  <c r="I512" i="1"/>
  <c r="K506" i="1"/>
  <c r="H506" i="1"/>
  <c r="K505" i="1"/>
  <c r="K507" i="1"/>
  <c r="K504" i="1"/>
  <c r="K503" i="1"/>
  <c r="H504" i="1"/>
  <c r="H503" i="1"/>
  <c r="E502" i="1"/>
  <c r="H502" i="1" s="1"/>
  <c r="I501" i="1"/>
  <c r="K500" i="1"/>
  <c r="K495" i="1"/>
  <c r="K498" i="1"/>
  <c r="K499" i="1"/>
  <c r="K489" i="1"/>
  <c r="K488" i="1"/>
  <c r="H489" i="1"/>
  <c r="H488" i="1"/>
  <c r="K494" i="1"/>
  <c r="K493" i="1"/>
  <c r="K492" i="1"/>
  <c r="K487" i="1"/>
  <c r="K486" i="1"/>
  <c r="K485" i="1"/>
  <c r="H485" i="1"/>
  <c r="K484" i="1"/>
  <c r="K483" i="1"/>
  <c r="H483" i="1"/>
  <c r="K482" i="1"/>
  <c r="K481" i="1"/>
  <c r="H481" i="1"/>
  <c r="K480" i="1"/>
  <c r="H480" i="1"/>
  <c r="K479" i="1"/>
  <c r="H479" i="1"/>
  <c r="K478" i="1"/>
  <c r="K477" i="1"/>
  <c r="H477" i="1"/>
  <c r="K476" i="1"/>
  <c r="K475" i="1"/>
  <c r="H475" i="1"/>
  <c r="K469" i="1"/>
  <c r="K472" i="1"/>
  <c r="K470" i="1"/>
  <c r="K471" i="1"/>
  <c r="H471" i="1"/>
  <c r="K468" i="1"/>
  <c r="E458" i="1"/>
  <c r="K461" i="1"/>
  <c r="H461" i="1"/>
  <c r="K467" i="1"/>
  <c r="K466" i="1"/>
  <c r="K462" i="1"/>
  <c r="K457" i="1"/>
  <c r="K456" i="1"/>
  <c r="K455" i="1"/>
  <c r="E429" i="1"/>
  <c r="I1468" i="1" l="1"/>
  <c r="I1673" i="1" s="1"/>
  <c r="I1285" i="1"/>
  <c r="I1141" i="1"/>
  <c r="I1042" i="1"/>
  <c r="H1042" i="1"/>
  <c r="K527" i="1"/>
  <c r="K464" i="1"/>
  <c r="K473" i="1"/>
  <c r="K490" i="1"/>
  <c r="K501" i="1"/>
  <c r="K496" i="1"/>
  <c r="K452" i="1"/>
  <c r="E421" i="1"/>
  <c r="H421" i="1" s="1"/>
  <c r="E420" i="1"/>
  <c r="H420" i="1" s="1"/>
  <c r="I419" i="1"/>
  <c r="H418" i="1"/>
  <c r="I417" i="1"/>
  <c r="H416" i="1"/>
  <c r="H415" i="1"/>
  <c r="H414" i="1"/>
  <c r="H413" i="1"/>
  <c r="H412" i="1"/>
  <c r="H411" i="1"/>
  <c r="E409" i="1"/>
  <c r="E410" i="1" s="1"/>
  <c r="H410" i="1" s="1"/>
  <c r="H407" i="1"/>
  <c r="I406" i="1"/>
  <c r="H405" i="1"/>
  <c r="I404" i="1"/>
  <c r="E385" i="1"/>
  <c r="E386" i="1" s="1"/>
  <c r="H386" i="1" s="1"/>
  <c r="H392" i="1"/>
  <c r="H391" i="1"/>
  <c r="H390" i="1"/>
  <c r="H389" i="1"/>
  <c r="H388" i="1"/>
  <c r="H387" i="1"/>
  <c r="E358" i="1"/>
  <c r="H365" i="1"/>
  <c r="E347" i="1"/>
  <c r="H347" i="1" s="1"/>
  <c r="E346" i="1"/>
  <c r="H346" i="1" s="1"/>
  <c r="I345" i="1"/>
  <c r="I1043" i="1" l="1"/>
  <c r="I1286" i="1" s="1"/>
  <c r="H422" i="1"/>
  <c r="I409" i="1"/>
  <c r="I422" i="1" s="1"/>
  <c r="I385" i="1"/>
  <c r="E336" i="1" l="1"/>
  <c r="E337" i="1" s="1"/>
  <c r="H337" i="1" s="1"/>
  <c r="E329" i="1"/>
  <c r="I329" i="1" s="1"/>
  <c r="H335" i="1"/>
  <c r="H334" i="1"/>
  <c r="H333" i="1"/>
  <c r="H331" i="1"/>
  <c r="H344" i="1"/>
  <c r="H343" i="1"/>
  <c r="I342" i="1"/>
  <c r="H341" i="1"/>
  <c r="H340" i="1"/>
  <c r="H339" i="1"/>
  <c r="H338" i="1"/>
  <c r="H327" i="1"/>
  <c r="H326" i="1"/>
  <c r="I325" i="1"/>
  <c r="H294" i="1"/>
  <c r="E310" i="1"/>
  <c r="E311" i="1" s="1"/>
  <c r="H311" i="1" s="1"/>
  <c r="H322" i="1"/>
  <c r="H321" i="1"/>
  <c r="I320" i="1"/>
  <c r="E319" i="1"/>
  <c r="H319" i="1" s="1"/>
  <c r="E318" i="1"/>
  <c r="H318" i="1" s="1"/>
  <c r="I317" i="1"/>
  <c r="H316" i="1"/>
  <c r="H315" i="1"/>
  <c r="H314" i="1"/>
  <c r="H313" i="1"/>
  <c r="H312" i="1"/>
  <c r="H308" i="1"/>
  <c r="H307" i="1"/>
  <c r="I306" i="1"/>
  <c r="E374" i="1"/>
  <c r="H374" i="1" s="1"/>
  <c r="E373" i="1"/>
  <c r="H373" i="1" s="1"/>
  <c r="I372" i="1"/>
  <c r="H371" i="1"/>
  <c r="H370" i="1"/>
  <c r="H369" i="1"/>
  <c r="H368" i="1"/>
  <c r="E366" i="1"/>
  <c r="E367" i="1" s="1"/>
  <c r="H367" i="1" s="1"/>
  <c r="H364" i="1"/>
  <c r="H363" i="1"/>
  <c r="H362" i="1"/>
  <c r="H360" i="1"/>
  <c r="E359" i="1"/>
  <c r="H359" i="1" s="1"/>
  <c r="H361" i="1"/>
  <c r="H357" i="1"/>
  <c r="I356" i="1"/>
  <c r="H355" i="1"/>
  <c r="I354" i="1"/>
  <c r="H352" i="1"/>
  <c r="H351" i="1"/>
  <c r="I350" i="1"/>
  <c r="E401" i="1"/>
  <c r="H401" i="1" s="1"/>
  <c r="E400" i="1"/>
  <c r="H400" i="1" s="1"/>
  <c r="I399" i="1"/>
  <c r="H398" i="1"/>
  <c r="H397" i="1"/>
  <c r="H396" i="1"/>
  <c r="H395" i="1"/>
  <c r="E393" i="1"/>
  <c r="E394" i="1" s="1"/>
  <c r="H394" i="1" s="1"/>
  <c r="H384" i="1"/>
  <c r="I383" i="1"/>
  <c r="H382" i="1"/>
  <c r="I381" i="1"/>
  <c r="H379" i="1"/>
  <c r="H378" i="1"/>
  <c r="I377" i="1"/>
  <c r="E290" i="1"/>
  <c r="E272" i="1"/>
  <c r="E282" i="1"/>
  <c r="H282" i="1" s="1"/>
  <c r="I281" i="1"/>
  <c r="E283" i="1"/>
  <c r="H283" i="1" s="1"/>
  <c r="H253" i="1"/>
  <c r="I252" i="1"/>
  <c r="H375" i="1" l="1"/>
  <c r="I336" i="1"/>
  <c r="I348" i="1" s="1"/>
  <c r="I366" i="1"/>
  <c r="H402" i="1"/>
  <c r="E330" i="1"/>
  <c r="H330" i="1" s="1"/>
  <c r="H348" i="1" s="1"/>
  <c r="H323" i="1"/>
  <c r="I310" i="1"/>
  <c r="I323" i="1" s="1"/>
  <c r="I358" i="1"/>
  <c r="I393" i="1"/>
  <c r="E256" i="1"/>
  <c r="E257" i="1" s="1"/>
  <c r="E242" i="1"/>
  <c r="H245" i="1"/>
  <c r="E244" i="1"/>
  <c r="K241" i="1"/>
  <c r="K240" i="1"/>
  <c r="K239" i="1"/>
  <c r="K238" i="1"/>
  <c r="E220" i="1"/>
  <c r="I206" i="1"/>
  <c r="E187" i="1"/>
  <c r="AI5" i="2"/>
  <c r="AI6" i="2"/>
  <c r="AI7" i="2"/>
  <c r="AI8" i="2"/>
  <c r="AI9" i="2"/>
  <c r="AI10" i="2"/>
  <c r="AI4" i="2"/>
  <c r="H172" i="1"/>
  <c r="I171" i="1"/>
  <c r="H170" i="1"/>
  <c r="I169" i="1"/>
  <c r="E85" i="1"/>
  <c r="H168" i="1"/>
  <c r="I167" i="1"/>
  <c r="I156" i="1"/>
  <c r="K162" i="1"/>
  <c r="H162" i="1"/>
  <c r="K161" i="1"/>
  <c r="K159" i="1"/>
  <c r="K158" i="1"/>
  <c r="K160" i="1"/>
  <c r="F159" i="1"/>
  <c r="H159" i="1" s="1"/>
  <c r="H158" i="1"/>
  <c r="E157" i="1"/>
  <c r="H157" i="1" s="1"/>
  <c r="K155" i="1"/>
  <c r="K154" i="1"/>
  <c r="K153" i="1"/>
  <c r="K150" i="1"/>
  <c r="H150" i="1"/>
  <c r="K149" i="1"/>
  <c r="K148" i="1"/>
  <c r="K147" i="1"/>
  <c r="K146" i="1"/>
  <c r="K145" i="1"/>
  <c r="K144" i="1"/>
  <c r="K143" i="1"/>
  <c r="H142" i="1"/>
  <c r="K142" i="1"/>
  <c r="K141" i="1"/>
  <c r="K140" i="1"/>
  <c r="K139" i="1"/>
  <c r="K136" i="1"/>
  <c r="K135" i="1"/>
  <c r="K133" i="1"/>
  <c r="K134" i="1"/>
  <c r="K131" i="1"/>
  <c r="K132" i="1"/>
  <c r="E130" i="1"/>
  <c r="E129" i="1"/>
  <c r="E128" i="1"/>
  <c r="E127" i="1"/>
  <c r="I402" i="1" l="1"/>
  <c r="I375" i="1"/>
  <c r="K163" i="1"/>
  <c r="E125" i="1"/>
  <c r="K124" i="1"/>
  <c r="K122" i="1"/>
  <c r="K123" i="1"/>
  <c r="K121" i="1"/>
  <c r="K120" i="1"/>
  <c r="K119" i="1"/>
  <c r="K109" i="1"/>
  <c r="K108" i="1"/>
  <c r="K115" i="1"/>
  <c r="K110" i="1"/>
  <c r="K114" i="1"/>
  <c r="I96" i="1"/>
  <c r="I92" i="1"/>
  <c r="I90" i="1"/>
  <c r="H87" i="1"/>
  <c r="K84" i="1"/>
  <c r="H84" i="1"/>
  <c r="K83" i="1"/>
  <c r="H83" i="1"/>
  <c r="K82" i="1"/>
  <c r="H82" i="1"/>
  <c r="K81" i="1"/>
  <c r="K80" i="1"/>
  <c r="H81" i="1"/>
  <c r="H80" i="1"/>
  <c r="I78" i="1"/>
  <c r="E79" i="1"/>
  <c r="H79" i="1" s="1"/>
  <c r="K77" i="1"/>
  <c r="K76" i="1"/>
  <c r="K75" i="1"/>
  <c r="K74" i="1"/>
  <c r="K73" i="1"/>
  <c r="K70" i="1"/>
  <c r="K69" i="1"/>
  <c r="K68" i="1"/>
  <c r="K67" i="1"/>
  <c r="K66" i="1"/>
  <c r="K65" i="1"/>
  <c r="K57" i="1"/>
  <c r="H57" i="1"/>
  <c r="K62" i="1"/>
  <c r="K61" i="1"/>
  <c r="K60" i="1"/>
  <c r="K59" i="1"/>
  <c r="K58" i="1"/>
  <c r="H58" i="1"/>
  <c r="K56" i="1"/>
  <c r="K55" i="1"/>
  <c r="K54" i="1"/>
  <c r="H54" i="1"/>
  <c r="K53" i="1"/>
  <c r="K51" i="1"/>
  <c r="H51" i="1"/>
  <c r="K50" i="1"/>
  <c r="K49" i="1"/>
  <c r="K48" i="1"/>
  <c r="H48" i="1"/>
  <c r="K47" i="1"/>
  <c r="K46" i="1"/>
  <c r="K45" i="1"/>
  <c r="H45" i="1"/>
  <c r="E36" i="1"/>
  <c r="K42" i="1"/>
  <c r="K41" i="1"/>
  <c r="K40" i="1"/>
  <c r="E30" i="1"/>
  <c r="E23" i="1"/>
  <c r="K27" i="1"/>
  <c r="K26" i="1"/>
  <c r="K117" i="1" l="1"/>
  <c r="K34" i="1"/>
  <c r="K29" i="1"/>
  <c r="K23" i="1" s="1"/>
  <c r="K33" i="1"/>
  <c r="I846" i="1" l="1"/>
  <c r="I825" i="1"/>
  <c r="I794" i="1"/>
  <c r="I764" i="1"/>
  <c r="I745" i="1"/>
  <c r="I727" i="1"/>
  <c r="I598" i="1"/>
  <c r="I518" i="1"/>
  <c r="K52" i="1"/>
  <c r="K43" i="1" s="1"/>
  <c r="H255" i="1"/>
  <c r="I254" i="1"/>
  <c r="H227" i="1"/>
  <c r="I226" i="1"/>
  <c r="H75" i="1"/>
  <c r="H61" i="1"/>
  <c r="H56" i="1"/>
  <c r="E657" i="1"/>
  <c r="E639" i="1"/>
  <c r="H830" i="1" l="1"/>
  <c r="E862" i="1" l="1"/>
  <c r="H862" i="1" s="1"/>
  <c r="E861" i="1"/>
  <c r="H861" i="1" s="1"/>
  <c r="I860" i="1"/>
  <c r="H859" i="1"/>
  <c r="I858" i="1"/>
  <c r="H857" i="1"/>
  <c r="E856" i="1"/>
  <c r="H856" i="1" s="1"/>
  <c r="I855" i="1"/>
  <c r="I847" i="1"/>
  <c r="H854" i="1"/>
  <c r="H853" i="1"/>
  <c r="H852" i="1"/>
  <c r="H851" i="1"/>
  <c r="H850" i="1"/>
  <c r="H849" i="1"/>
  <c r="H845" i="1"/>
  <c r="I844" i="1"/>
  <c r="H843" i="1"/>
  <c r="I842" i="1"/>
  <c r="E827" i="1"/>
  <c r="H827" i="1" s="1"/>
  <c r="H833" i="1"/>
  <c r="E839" i="1"/>
  <c r="H839" i="1" s="1"/>
  <c r="E838" i="1"/>
  <c r="H838" i="1" s="1"/>
  <c r="I837" i="1"/>
  <c r="H836" i="1"/>
  <c r="I835" i="1"/>
  <c r="H834" i="1"/>
  <c r="H832" i="1"/>
  <c r="H831" i="1"/>
  <c r="H828" i="1"/>
  <c r="H824" i="1"/>
  <c r="I823" i="1"/>
  <c r="H822" i="1"/>
  <c r="I821" i="1"/>
  <c r="H809" i="1"/>
  <c r="I803" i="1"/>
  <c r="E818" i="1"/>
  <c r="H818" i="1" s="1"/>
  <c r="E817" i="1"/>
  <c r="H817" i="1" s="1"/>
  <c r="I816" i="1"/>
  <c r="H815" i="1"/>
  <c r="H814" i="1"/>
  <c r="H813" i="1"/>
  <c r="H812" i="1"/>
  <c r="E811" i="1"/>
  <c r="H811" i="1" s="1"/>
  <c r="H808" i="1"/>
  <c r="H807" i="1"/>
  <c r="H806" i="1"/>
  <c r="H805" i="1"/>
  <c r="H802" i="1"/>
  <c r="H801" i="1"/>
  <c r="I799" i="1"/>
  <c r="H798" i="1"/>
  <c r="I797" i="1"/>
  <c r="H796" i="1"/>
  <c r="I795" i="1"/>
  <c r="H793" i="1"/>
  <c r="H792" i="1"/>
  <c r="I791" i="1"/>
  <c r="H779" i="1"/>
  <c r="I773" i="1"/>
  <c r="I769" i="1"/>
  <c r="E788" i="1"/>
  <c r="H788" i="1" s="1"/>
  <c r="E787" i="1"/>
  <c r="H787" i="1" s="1"/>
  <c r="I786" i="1"/>
  <c r="H785" i="1"/>
  <c r="H784" i="1"/>
  <c r="H783" i="1"/>
  <c r="H782" i="1"/>
  <c r="E781" i="1"/>
  <c r="H781" i="1" s="1"/>
  <c r="H778" i="1"/>
  <c r="H777" i="1"/>
  <c r="H776" i="1"/>
  <c r="H775" i="1"/>
  <c r="H772" i="1"/>
  <c r="H771" i="1"/>
  <c r="H768" i="1"/>
  <c r="I767" i="1"/>
  <c r="H766" i="1"/>
  <c r="I765" i="1"/>
  <c r="H763" i="1"/>
  <c r="H762" i="1"/>
  <c r="I761" i="1"/>
  <c r="H758" i="1"/>
  <c r="H757" i="1"/>
  <c r="I756" i="1"/>
  <c r="E755" i="1"/>
  <c r="H755" i="1" s="1"/>
  <c r="E754" i="1"/>
  <c r="H754" i="1" s="1"/>
  <c r="I753" i="1"/>
  <c r="H752" i="1"/>
  <c r="H751" i="1"/>
  <c r="H750" i="1"/>
  <c r="H749" i="1"/>
  <c r="H748" i="1"/>
  <c r="E747" i="1"/>
  <c r="H747" i="1" s="1"/>
  <c r="H744" i="1"/>
  <c r="H743" i="1"/>
  <c r="I742" i="1"/>
  <c r="E739" i="1"/>
  <c r="H739" i="1" s="1"/>
  <c r="E738" i="1"/>
  <c r="H738" i="1" s="1"/>
  <c r="I737" i="1"/>
  <c r="H736" i="1"/>
  <c r="H735" i="1"/>
  <c r="I734" i="1"/>
  <c r="H733" i="1"/>
  <c r="H732" i="1"/>
  <c r="H731" i="1"/>
  <c r="H730" i="1"/>
  <c r="E729" i="1"/>
  <c r="H729" i="1" s="1"/>
  <c r="H726" i="1"/>
  <c r="H725" i="1"/>
  <c r="I724" i="1"/>
  <c r="K716" i="1"/>
  <c r="E718" i="1"/>
  <c r="H718" i="1" s="1"/>
  <c r="E717" i="1"/>
  <c r="H717" i="1" s="1"/>
  <c r="I716" i="1"/>
  <c r="H715" i="1"/>
  <c r="H714" i="1"/>
  <c r="I713" i="1"/>
  <c r="H712" i="1"/>
  <c r="H711" i="1"/>
  <c r="I710" i="1"/>
  <c r="H709" i="1"/>
  <c r="I708" i="1"/>
  <c r="H707" i="1"/>
  <c r="I706" i="1"/>
  <c r="H705" i="1"/>
  <c r="H704" i="1"/>
  <c r="E702" i="1"/>
  <c r="H702" i="1" s="1"/>
  <c r="H694" i="1"/>
  <c r="H693" i="1"/>
  <c r="H700" i="1"/>
  <c r="H699" i="1"/>
  <c r="I698" i="1"/>
  <c r="I689" i="1"/>
  <c r="E678" i="1"/>
  <c r="H678" i="1" s="1"/>
  <c r="K688" i="1"/>
  <c r="K687" i="1"/>
  <c r="K683" i="1"/>
  <c r="K682" i="1"/>
  <c r="H686" i="1"/>
  <c r="H695" i="1"/>
  <c r="H687" i="1"/>
  <c r="H688" i="1"/>
  <c r="H697" i="1"/>
  <c r="H685" i="1"/>
  <c r="H684" i="1"/>
  <c r="H696" i="1"/>
  <c r="E683" i="1"/>
  <c r="H683" i="1" s="1"/>
  <c r="E682" i="1"/>
  <c r="H682" i="1" s="1"/>
  <c r="H692" i="1"/>
  <c r="H691" i="1"/>
  <c r="H680" i="1"/>
  <c r="H681" i="1"/>
  <c r="H679" i="1"/>
  <c r="E670" i="1"/>
  <c r="H670" i="1" s="1"/>
  <c r="E669" i="1"/>
  <c r="H669" i="1" s="1"/>
  <c r="I668" i="1"/>
  <c r="H674" i="1"/>
  <c r="I673" i="1"/>
  <c r="H672" i="1"/>
  <c r="I671" i="1"/>
  <c r="H664" i="1"/>
  <c r="H667" i="1"/>
  <c r="H666" i="1"/>
  <c r="I665" i="1"/>
  <c r="E659" i="1"/>
  <c r="E660" i="1" s="1"/>
  <c r="H660" i="1" s="1"/>
  <c r="H663" i="1"/>
  <c r="H662" i="1"/>
  <c r="H661" i="1"/>
  <c r="H658" i="1"/>
  <c r="H657" i="1"/>
  <c r="I656" i="1"/>
  <c r="H653" i="1"/>
  <c r="I652" i="1"/>
  <c r="H651" i="1"/>
  <c r="H650" i="1"/>
  <c r="I649" i="1"/>
  <c r="H648" i="1"/>
  <c r="E647" i="1"/>
  <c r="H647" i="1" s="1"/>
  <c r="H642" i="1"/>
  <c r="I641" i="1"/>
  <c r="H640" i="1"/>
  <c r="H639" i="1"/>
  <c r="I638" i="1"/>
  <c r="H637" i="1"/>
  <c r="H636" i="1"/>
  <c r="I635" i="1"/>
  <c r="K677" i="1" l="1"/>
  <c r="I863" i="1"/>
  <c r="H840" i="1"/>
  <c r="H759" i="1"/>
  <c r="H675" i="1"/>
  <c r="H654" i="1"/>
  <c r="H740" i="1"/>
  <c r="E848" i="1"/>
  <c r="H848" i="1" s="1"/>
  <c r="H863" i="1" s="1"/>
  <c r="I810" i="1"/>
  <c r="I819" i="1" s="1"/>
  <c r="I746" i="1"/>
  <c r="I759" i="1" s="1"/>
  <c r="I677" i="1"/>
  <c r="I719" i="1" s="1"/>
  <c r="I780" i="1"/>
  <c r="I789" i="1" s="1"/>
  <c r="I826" i="1"/>
  <c r="I840" i="1" s="1"/>
  <c r="E804" i="1"/>
  <c r="H804" i="1" s="1"/>
  <c r="E800" i="1"/>
  <c r="H800" i="1" s="1"/>
  <c r="E774" i="1"/>
  <c r="H774" i="1" s="1"/>
  <c r="E770" i="1"/>
  <c r="H770" i="1" s="1"/>
  <c r="I728" i="1"/>
  <c r="I740" i="1" s="1"/>
  <c r="E690" i="1"/>
  <c r="H690" i="1" s="1"/>
  <c r="H719" i="1" s="1"/>
  <c r="I659" i="1"/>
  <c r="I675" i="1" s="1"/>
  <c r="I646" i="1"/>
  <c r="I654" i="1" s="1"/>
  <c r="H643" i="1"/>
  <c r="H634" i="1"/>
  <c r="H633" i="1"/>
  <c r="E632" i="1"/>
  <c r="H632" i="1" s="1"/>
  <c r="H626" i="1"/>
  <c r="E624" i="1"/>
  <c r="I624" i="1" s="1"/>
  <c r="E611" i="1"/>
  <c r="H611" i="1" s="1"/>
  <c r="E618" i="1"/>
  <c r="H618" i="1" s="1"/>
  <c r="E617" i="1"/>
  <c r="H617" i="1" s="1"/>
  <c r="I616" i="1"/>
  <c r="H615" i="1"/>
  <c r="H614" i="1"/>
  <c r="H613" i="1"/>
  <c r="H612" i="1"/>
  <c r="H609" i="1"/>
  <c r="H608" i="1"/>
  <c r="I607" i="1"/>
  <c r="H604" i="1"/>
  <c r="H603" i="1"/>
  <c r="I602" i="1"/>
  <c r="E601" i="1"/>
  <c r="H601" i="1" s="1"/>
  <c r="E600" i="1"/>
  <c r="H600" i="1" s="1"/>
  <c r="I599" i="1"/>
  <c r="H597" i="1"/>
  <c r="I596" i="1"/>
  <c r="H595" i="1"/>
  <c r="H593" i="1"/>
  <c r="H589" i="1"/>
  <c r="H588" i="1"/>
  <c r="H587" i="1"/>
  <c r="I586" i="1"/>
  <c r="H578" i="1"/>
  <c r="H575" i="1"/>
  <c r="H574" i="1"/>
  <c r="H573" i="1"/>
  <c r="H572" i="1"/>
  <c r="E571" i="1"/>
  <c r="H571" i="1" s="1"/>
  <c r="I570" i="1"/>
  <c r="H567" i="1"/>
  <c r="H562" i="1"/>
  <c r="H569" i="1"/>
  <c r="H568" i="1"/>
  <c r="H566" i="1"/>
  <c r="H565" i="1"/>
  <c r="H564" i="1"/>
  <c r="H563" i="1"/>
  <c r="I560" i="1"/>
  <c r="H559" i="1"/>
  <c r="H557" i="1"/>
  <c r="H554" i="1"/>
  <c r="H553" i="1"/>
  <c r="H551" i="1"/>
  <c r="H549" i="1"/>
  <c r="I546" i="1"/>
  <c r="H558" i="1"/>
  <c r="H556" i="1"/>
  <c r="H555" i="1"/>
  <c r="H552" i="1"/>
  <c r="H550" i="1"/>
  <c r="H548" i="1"/>
  <c r="E540" i="1"/>
  <c r="H540" i="1" s="1"/>
  <c r="H545" i="1"/>
  <c r="H544" i="1"/>
  <c r="H543" i="1"/>
  <c r="H542" i="1"/>
  <c r="H541" i="1"/>
  <c r="E528" i="1"/>
  <c r="H528" i="1" s="1"/>
  <c r="E534" i="1"/>
  <c r="H534" i="1" s="1"/>
  <c r="H538" i="1"/>
  <c r="H537" i="1"/>
  <c r="H536" i="1"/>
  <c r="H535" i="1"/>
  <c r="H532" i="1"/>
  <c r="H531" i="1"/>
  <c r="H530" i="1"/>
  <c r="H529" i="1"/>
  <c r="H819" i="1" l="1"/>
  <c r="H789" i="1"/>
  <c r="I864" i="1"/>
  <c r="H619" i="1"/>
  <c r="I631" i="1"/>
  <c r="I644" i="1" s="1"/>
  <c r="I720" i="1" s="1"/>
  <c r="E625" i="1"/>
  <c r="H625" i="1" s="1"/>
  <c r="H644" i="1" s="1"/>
  <c r="H720" i="1" s="1"/>
  <c r="I610" i="1"/>
  <c r="I619" i="1" s="1"/>
  <c r="E561" i="1"/>
  <c r="H561" i="1" s="1"/>
  <c r="E547" i="1"/>
  <c r="H547" i="1" s="1"/>
  <c r="I539" i="1"/>
  <c r="I527" i="1"/>
  <c r="I533" i="1"/>
  <c r="H517" i="1"/>
  <c r="I516" i="1"/>
  <c r="H511" i="1"/>
  <c r="H510" i="1"/>
  <c r="H509" i="1"/>
  <c r="I508" i="1"/>
  <c r="H524" i="1"/>
  <c r="H523" i="1"/>
  <c r="I522" i="1"/>
  <c r="E521" i="1"/>
  <c r="H521" i="1" s="1"/>
  <c r="E520" i="1"/>
  <c r="H520" i="1" s="1"/>
  <c r="I519" i="1"/>
  <c r="E497" i="1"/>
  <c r="H497" i="1" s="1"/>
  <c r="H507" i="1"/>
  <c r="H505" i="1"/>
  <c r="H500" i="1"/>
  <c r="H499" i="1"/>
  <c r="H498" i="1"/>
  <c r="H864" i="1" l="1"/>
  <c r="I865" i="1" s="1"/>
  <c r="H605" i="1"/>
  <c r="I721" i="1"/>
  <c r="I605" i="1"/>
  <c r="I496" i="1"/>
  <c r="E491" i="1"/>
  <c r="H491" i="1" s="1"/>
  <c r="H495" i="1"/>
  <c r="H494" i="1"/>
  <c r="H493" i="1"/>
  <c r="H492" i="1"/>
  <c r="I473" i="1"/>
  <c r="H487" i="1"/>
  <c r="H486" i="1"/>
  <c r="H484" i="1"/>
  <c r="H482" i="1"/>
  <c r="H478" i="1"/>
  <c r="H476" i="1"/>
  <c r="I490" i="1" l="1"/>
  <c r="E474" i="1"/>
  <c r="H474" i="1" s="1"/>
  <c r="E465" i="1"/>
  <c r="H465" i="1" s="1"/>
  <c r="H472" i="1"/>
  <c r="H470" i="1"/>
  <c r="H469" i="1"/>
  <c r="H468" i="1"/>
  <c r="H467" i="1"/>
  <c r="H466" i="1"/>
  <c r="E459" i="1"/>
  <c r="H459" i="1" s="1"/>
  <c r="E453" i="1"/>
  <c r="H453" i="1" s="1"/>
  <c r="H463" i="1"/>
  <c r="H462" i="1"/>
  <c r="H460" i="1"/>
  <c r="H457" i="1"/>
  <c r="H456" i="1"/>
  <c r="H455" i="1"/>
  <c r="H454" i="1"/>
  <c r="H525" i="1" l="1"/>
  <c r="I464" i="1"/>
  <c r="I452" i="1"/>
  <c r="I458" i="1"/>
  <c r="H449" i="1"/>
  <c r="H450" i="1" s="1"/>
  <c r="I448" i="1"/>
  <c r="I450" i="1" s="1"/>
  <c r="E441" i="1"/>
  <c r="H441" i="1" s="1"/>
  <c r="E440" i="1"/>
  <c r="H440" i="1" s="1"/>
  <c r="I439" i="1"/>
  <c r="H438" i="1"/>
  <c r="I437" i="1"/>
  <c r="E430" i="1"/>
  <c r="H430" i="1" s="1"/>
  <c r="H436" i="1"/>
  <c r="H435" i="1"/>
  <c r="H434" i="1"/>
  <c r="H433" i="1"/>
  <c r="H432" i="1"/>
  <c r="H431" i="1"/>
  <c r="H427" i="1"/>
  <c r="I426" i="1"/>
  <c r="H425" i="1"/>
  <c r="I424" i="1"/>
  <c r="H303" i="1"/>
  <c r="H302" i="1"/>
  <c r="I301" i="1"/>
  <c r="I298" i="1"/>
  <c r="E299" i="1"/>
  <c r="H299" i="1" s="1"/>
  <c r="E300" i="1"/>
  <c r="H300" i="1" s="1"/>
  <c r="I290" i="1"/>
  <c r="H297" i="1"/>
  <c r="H296" i="1"/>
  <c r="H295" i="1"/>
  <c r="H293" i="1"/>
  <c r="H292" i="1"/>
  <c r="H288" i="1"/>
  <c r="H287" i="1"/>
  <c r="I286" i="1"/>
  <c r="H280" i="1"/>
  <c r="H279" i="1"/>
  <c r="I278" i="1"/>
  <c r="H276" i="1"/>
  <c r="H277" i="1"/>
  <c r="E273" i="1"/>
  <c r="H273" i="1" s="1"/>
  <c r="H275" i="1"/>
  <c r="H274" i="1"/>
  <c r="H270" i="1"/>
  <c r="H269" i="1"/>
  <c r="I268" i="1"/>
  <c r="H620" i="1" l="1"/>
  <c r="I525" i="1"/>
  <c r="I620" i="1" s="1"/>
  <c r="H442" i="1"/>
  <c r="I304" i="1"/>
  <c r="H284" i="1"/>
  <c r="E291" i="1"/>
  <c r="H291" i="1" s="1"/>
  <c r="H304" i="1" s="1"/>
  <c r="I429" i="1"/>
  <c r="I272" i="1"/>
  <c r="I284" i="1" s="1"/>
  <c r="H215" i="1"/>
  <c r="H443" i="1" l="1"/>
  <c r="I621" i="1"/>
  <c r="I866" i="1" s="1"/>
  <c r="I442" i="1"/>
  <c r="I443" i="1" s="1"/>
  <c r="H262" i="1"/>
  <c r="I261" i="1"/>
  <c r="H260" i="1"/>
  <c r="I259" i="1"/>
  <c r="E258" i="1"/>
  <c r="H258" i="1" s="1"/>
  <c r="H257" i="1"/>
  <c r="I256" i="1"/>
  <c r="H251" i="1"/>
  <c r="I250" i="1"/>
  <c r="H249" i="1"/>
  <c r="I248" i="1"/>
  <c r="H247" i="1"/>
  <c r="I246" i="1"/>
  <c r="H244" i="1"/>
  <c r="H237" i="1"/>
  <c r="H240" i="1"/>
  <c r="H241" i="1"/>
  <c r="H239" i="1"/>
  <c r="H238" i="1"/>
  <c r="I444" i="1" l="1"/>
  <c r="I242" i="1"/>
  <c r="E243" i="1"/>
  <c r="H243" i="1" s="1"/>
  <c r="I235" i="1"/>
  <c r="E236" i="1"/>
  <c r="H236" i="1" s="1"/>
  <c r="E230" i="1"/>
  <c r="H230" i="1" s="1"/>
  <c r="E229" i="1"/>
  <c r="H229" i="1" s="1"/>
  <c r="I228" i="1"/>
  <c r="I263" i="1" l="1"/>
  <c r="H263" i="1"/>
  <c r="I231" i="1"/>
  <c r="H232" i="1"/>
  <c r="E221" i="1"/>
  <c r="H221" i="1" s="1"/>
  <c r="H223" i="1"/>
  <c r="H224" i="1"/>
  <c r="H225" i="1"/>
  <c r="H222" i="1"/>
  <c r="I216" i="1"/>
  <c r="H217" i="1"/>
  <c r="H214" i="1"/>
  <c r="I213" i="1"/>
  <c r="H212" i="1"/>
  <c r="E211" i="1"/>
  <c r="H211" i="1" s="1"/>
  <c r="H207" i="1"/>
  <c r="H205" i="1"/>
  <c r="I204" i="1"/>
  <c r="H203" i="1"/>
  <c r="E201" i="1"/>
  <c r="E202" i="1" s="1"/>
  <c r="H202" i="1" s="1"/>
  <c r="H233" i="1" l="1"/>
  <c r="H208" i="1"/>
  <c r="H218" i="1"/>
  <c r="I210" i="1"/>
  <c r="I218" i="1" s="1"/>
  <c r="I220" i="1"/>
  <c r="I233" i="1" s="1"/>
  <c r="I201" i="1"/>
  <c r="I208" i="1" s="1"/>
  <c r="H20" i="1"/>
  <c r="H21" i="1" s="1"/>
  <c r="I19" i="1"/>
  <c r="I21" i="1" s="1"/>
  <c r="I193" i="1"/>
  <c r="E195" i="1"/>
  <c r="H195" i="1" s="1"/>
  <c r="E194" i="1"/>
  <c r="H194" i="1" s="1"/>
  <c r="E99" i="1"/>
  <c r="E98" i="1"/>
  <c r="E178" i="1"/>
  <c r="E177" i="1"/>
  <c r="I264" i="1" l="1"/>
  <c r="H264" i="1"/>
  <c r="H192" i="1"/>
  <c r="H191" i="1"/>
  <c r="I265" i="1" l="1"/>
  <c r="H190" i="1"/>
  <c r="E188" i="1"/>
  <c r="H188" i="1" s="1"/>
  <c r="I187" i="1"/>
  <c r="H189" i="1"/>
  <c r="H186" i="1"/>
  <c r="H185" i="1"/>
  <c r="I184" i="1"/>
  <c r="H181" i="1"/>
  <c r="H180" i="1"/>
  <c r="I179" i="1"/>
  <c r="H178" i="1"/>
  <c r="H177" i="1"/>
  <c r="I176" i="1"/>
  <c r="H102" i="1"/>
  <c r="H101" i="1"/>
  <c r="I100" i="1"/>
  <c r="H99" i="1"/>
  <c r="H98" i="1"/>
  <c r="I97" i="1"/>
  <c r="I151" i="1"/>
  <c r="H160" i="1"/>
  <c r="H155" i="1"/>
  <c r="E138" i="1"/>
  <c r="H138" i="1" s="1"/>
  <c r="H149" i="1"/>
  <c r="H148" i="1"/>
  <c r="H144" i="1"/>
  <c r="I125" i="1"/>
  <c r="H134" i="1"/>
  <c r="H132" i="1"/>
  <c r="H130" i="1"/>
  <c r="I117" i="1"/>
  <c r="E112" i="1"/>
  <c r="H112" i="1" s="1"/>
  <c r="I105" i="1"/>
  <c r="H174" i="1"/>
  <c r="I173" i="1"/>
  <c r="H166" i="1"/>
  <c r="H165" i="1"/>
  <c r="H164" i="1"/>
  <c r="I163" i="1"/>
  <c r="H161" i="1"/>
  <c r="H154" i="1"/>
  <c r="H153" i="1"/>
  <c r="H147" i="1"/>
  <c r="H146" i="1"/>
  <c r="H145" i="1"/>
  <c r="H143" i="1"/>
  <c r="H141" i="1"/>
  <c r="H140" i="1"/>
  <c r="H139" i="1"/>
  <c r="H136" i="1"/>
  <c r="H135" i="1"/>
  <c r="H133" i="1"/>
  <c r="H131" i="1"/>
  <c r="H129" i="1"/>
  <c r="H128" i="1"/>
  <c r="H127" i="1"/>
  <c r="H124" i="1"/>
  <c r="H123" i="1"/>
  <c r="H122" i="1"/>
  <c r="H121" i="1"/>
  <c r="H120" i="1"/>
  <c r="H119" i="1"/>
  <c r="H116" i="1"/>
  <c r="H115" i="1"/>
  <c r="H114" i="1"/>
  <c r="H113" i="1"/>
  <c r="H110" i="1"/>
  <c r="H109" i="1"/>
  <c r="H108" i="1"/>
  <c r="H107" i="1"/>
  <c r="H95" i="1"/>
  <c r="I94" i="1"/>
  <c r="I196" i="1" l="1"/>
  <c r="H196" i="1"/>
  <c r="E152" i="1"/>
  <c r="H152" i="1" s="1"/>
  <c r="I137" i="1"/>
  <c r="E118" i="1"/>
  <c r="H118" i="1" s="1"/>
  <c r="I111" i="1"/>
  <c r="E106" i="1"/>
  <c r="H106" i="1" s="1"/>
  <c r="E126" i="1"/>
  <c r="H126" i="1" s="1"/>
  <c r="H89" i="1"/>
  <c r="H91" i="1"/>
  <c r="H93" i="1"/>
  <c r="H88" i="1"/>
  <c r="H86" i="1"/>
  <c r="I85" i="1"/>
  <c r="H77" i="1"/>
  <c r="I71" i="1"/>
  <c r="H76" i="1"/>
  <c r="H74" i="1"/>
  <c r="H73" i="1"/>
  <c r="I63" i="1"/>
  <c r="H69" i="1"/>
  <c r="H65" i="1"/>
  <c r="H66" i="1"/>
  <c r="H67" i="1"/>
  <c r="H68" i="1"/>
  <c r="H70" i="1"/>
  <c r="E44" i="1"/>
  <c r="H44" i="1" s="1"/>
  <c r="H62" i="1"/>
  <c r="H60" i="1"/>
  <c r="H59" i="1"/>
  <c r="H53" i="1"/>
  <c r="H55" i="1"/>
  <c r="H52" i="1"/>
  <c r="H26" i="1"/>
  <c r="H27" i="1"/>
  <c r="I36" i="1"/>
  <c r="H41" i="1"/>
  <c r="H50" i="1"/>
  <c r="H49" i="1"/>
  <c r="H47" i="1"/>
  <c r="H46" i="1"/>
  <c r="H42" i="1"/>
  <c r="H40" i="1"/>
  <c r="H39" i="1"/>
  <c r="H38" i="1"/>
  <c r="H34" i="1"/>
  <c r="H33" i="1"/>
  <c r="H182" i="1" l="1"/>
  <c r="I182" i="1"/>
  <c r="E72" i="1"/>
  <c r="H72" i="1" s="1"/>
  <c r="E64" i="1"/>
  <c r="H64" i="1" s="1"/>
  <c r="I43" i="1"/>
  <c r="E37" i="1"/>
  <c r="H37" i="1" s="1"/>
  <c r="H35" i="1"/>
  <c r="H32" i="1"/>
  <c r="I30" i="1"/>
  <c r="H29" i="1"/>
  <c r="H28" i="1"/>
  <c r="H25" i="1"/>
  <c r="I23" i="1"/>
  <c r="I103" i="1" l="1"/>
  <c r="I197" i="1" s="1"/>
  <c r="E31" i="1" l="1"/>
  <c r="H31" i="1" s="1"/>
  <c r="E24" i="1"/>
  <c r="H24" i="1" s="1"/>
  <c r="H103" i="1" l="1"/>
  <c r="H197" i="1" s="1"/>
  <c r="I198" i="1" s="1"/>
  <c r="I445" i="1" l="1"/>
  <c r="I1674" i="1" s="1"/>
  <c r="I1675" i="1" s="1"/>
</calcChain>
</file>

<file path=xl/sharedStrings.xml><?xml version="1.0" encoding="utf-8"?>
<sst xmlns="http://schemas.openxmlformats.org/spreadsheetml/2006/main" count="6328" uniqueCount="882">
  <si>
    <t>Приложение № 1</t>
  </si>
  <si>
    <t>№ п/п</t>
  </si>
  <si>
    <t>Наименование работ, затрат</t>
  </si>
  <si>
    <t>Ед. изм.</t>
  </si>
  <si>
    <t>Кол-во</t>
  </si>
  <si>
    <t>Стоимость на ед.изм., руб.</t>
  </si>
  <si>
    <t>Общая стоимость, руб.</t>
  </si>
  <si>
    <t>СМР</t>
  </si>
  <si>
    <t>материалы</t>
  </si>
  <si>
    <t>Договорная цена</t>
  </si>
  <si>
    <t>Установка вентиляторов осевых массой: до 0,025 т</t>
  </si>
  <si>
    <t>1 вентилятор</t>
  </si>
  <si>
    <t>1.1</t>
  </si>
  <si>
    <t>цена поставки</t>
  </si>
  <si>
    <t>шт</t>
  </si>
  <si>
    <t>1.2</t>
  </si>
  <si>
    <t>2</t>
  </si>
  <si>
    <t>2.1</t>
  </si>
  <si>
    <t>2.2</t>
  </si>
  <si>
    <t>3</t>
  </si>
  <si>
    <t>Вентилятор</t>
  </si>
  <si>
    <t>3.1</t>
  </si>
  <si>
    <t>3.2</t>
  </si>
  <si>
    <t>4</t>
  </si>
  <si>
    <t>4.1</t>
  </si>
  <si>
    <t>Установка вентиляторов крышных массой: до 0,1 т</t>
  </si>
  <si>
    <t>5.1</t>
  </si>
  <si>
    <t>5.2</t>
  </si>
  <si>
    <t>5.3</t>
  </si>
  <si>
    <t>6</t>
  </si>
  <si>
    <t>Установка вентиляторов крышных массой: до 0,2 т</t>
  </si>
  <si>
    <t>6.1</t>
  </si>
  <si>
    <t>7</t>
  </si>
  <si>
    <t>7.1</t>
  </si>
  <si>
    <t>7.2</t>
  </si>
  <si>
    <t>7.3</t>
  </si>
  <si>
    <t>8</t>
  </si>
  <si>
    <t>8.1</t>
  </si>
  <si>
    <t>кг</t>
  </si>
  <si>
    <t>9</t>
  </si>
  <si>
    <t>9.1</t>
  </si>
  <si>
    <t>9.2</t>
  </si>
  <si>
    <t>10.1</t>
  </si>
  <si>
    <t>10.2</t>
  </si>
  <si>
    <t xml:space="preserve">Итого </t>
  </si>
  <si>
    <t>ИТОГО по разделу</t>
  </si>
  <si>
    <t>1</t>
  </si>
  <si>
    <t>2.3</t>
  </si>
  <si>
    <t>Установка клапанов огнезадерживающих периметром: до 1600 мм</t>
  </si>
  <si>
    <t>2.4</t>
  </si>
  <si>
    <t>2.5</t>
  </si>
  <si>
    <t>5</t>
  </si>
  <si>
    <t>Установка клапанов огнезадерживающих периметром: до 3200 мм</t>
  </si>
  <si>
    <t>Прокладка воздуховодов из листовой, оцинкованной стали и алюминия класса Н (нормальные) толщиной: 0,5 мм, диаметром до 200 мм</t>
  </si>
  <si>
    <t>м2</t>
  </si>
  <si>
    <t>Крепления для воздуховодов</t>
  </si>
  <si>
    <t>Воздуховод из оцинкованной стали б=0,5мм ø100</t>
  </si>
  <si>
    <t>п.м</t>
  </si>
  <si>
    <t>м</t>
  </si>
  <si>
    <t>3.3</t>
  </si>
  <si>
    <t>4.2</t>
  </si>
  <si>
    <t>Прокладка воздуховодов из листовой, оцинкованной стали и алюминия класса Н (нормальные) толщиной: 0,5 мм, периметром до 600 мм</t>
  </si>
  <si>
    <t>5.4</t>
  </si>
  <si>
    <t>6.2</t>
  </si>
  <si>
    <t>6.3</t>
  </si>
  <si>
    <t>6.4</t>
  </si>
  <si>
    <t>6.5</t>
  </si>
  <si>
    <t>Установка решеток жалюзийных площадью в свету: до 0,5 м2</t>
  </si>
  <si>
    <t>10.3</t>
  </si>
  <si>
    <t>11</t>
  </si>
  <si>
    <t>11.1</t>
  </si>
  <si>
    <t>11.2</t>
  </si>
  <si>
    <t>11.3</t>
  </si>
  <si>
    <t>12.1</t>
  </si>
  <si>
    <t>12.2</t>
  </si>
  <si>
    <t>12.3</t>
  </si>
  <si>
    <t>13</t>
  </si>
  <si>
    <t>13.1</t>
  </si>
  <si>
    <t>14</t>
  </si>
  <si>
    <t>14.1</t>
  </si>
  <si>
    <t>15</t>
  </si>
  <si>
    <t>15.1</t>
  </si>
  <si>
    <t>15.2</t>
  </si>
  <si>
    <t>15.3</t>
  </si>
  <si>
    <t>15.4</t>
  </si>
  <si>
    <t>15.5</t>
  </si>
  <si>
    <t>16</t>
  </si>
  <si>
    <t>16.1</t>
  </si>
  <si>
    <t>17</t>
  </si>
  <si>
    <t>17.1</t>
  </si>
  <si>
    <t>17.2</t>
  </si>
  <si>
    <t>17.3</t>
  </si>
  <si>
    <t>18</t>
  </si>
  <si>
    <t>18.1</t>
  </si>
  <si>
    <t>18.2</t>
  </si>
  <si>
    <t>18.3</t>
  </si>
  <si>
    <t>19</t>
  </si>
  <si>
    <t>19.1</t>
  </si>
  <si>
    <t>19.2</t>
  </si>
  <si>
    <t>20</t>
  </si>
  <si>
    <t>20.1</t>
  </si>
  <si>
    <t>20.2</t>
  </si>
  <si>
    <t>20.3</t>
  </si>
  <si>
    <t>20.4</t>
  </si>
  <si>
    <t>20.5</t>
  </si>
  <si>
    <t>21</t>
  </si>
  <si>
    <t>22.1</t>
  </si>
  <si>
    <t>22.2</t>
  </si>
  <si>
    <t>22</t>
  </si>
  <si>
    <t>23</t>
  </si>
  <si>
    <t>23.1</t>
  </si>
  <si>
    <t>23.2</t>
  </si>
  <si>
    <t>24</t>
  </si>
  <si>
    <t>24.1</t>
  </si>
  <si>
    <t>24.2</t>
  </si>
  <si>
    <t>25</t>
  </si>
  <si>
    <t>25.1</t>
  </si>
  <si>
    <t>25.2</t>
  </si>
  <si>
    <t>26</t>
  </si>
  <si>
    <t>26.1</t>
  </si>
  <si>
    <t>26.2</t>
  </si>
  <si>
    <t>26.3</t>
  </si>
  <si>
    <t>27</t>
  </si>
  <si>
    <t>27.1</t>
  </si>
  <si>
    <t>27.2</t>
  </si>
  <si>
    <t>28</t>
  </si>
  <si>
    <t>28.1</t>
  </si>
  <si>
    <t>29</t>
  </si>
  <si>
    <t>29.1</t>
  </si>
  <si>
    <t>30</t>
  </si>
  <si>
    <t>30.1</t>
  </si>
  <si>
    <t>31.1</t>
  </si>
  <si>
    <t>31.2</t>
  </si>
  <si>
    <t>32.1</t>
  </si>
  <si>
    <t>33</t>
  </si>
  <si>
    <t>33.1</t>
  </si>
  <si>
    <t>33.2</t>
  </si>
  <si>
    <t>Установка решеток жалюзийных стальных: щелевых регулирующих (Р) номер 150 размер 150х150 мм</t>
  </si>
  <si>
    <t>4.3</t>
  </si>
  <si>
    <t>21.2</t>
  </si>
  <si>
    <t>21.3</t>
  </si>
  <si>
    <t>21.4</t>
  </si>
  <si>
    <t>25.3</t>
  </si>
  <si>
    <t>25.4</t>
  </si>
  <si>
    <t>30.2</t>
  </si>
  <si>
    <t>30.3</t>
  </si>
  <si>
    <t>30.4</t>
  </si>
  <si>
    <t>30.5</t>
  </si>
  <si>
    <t>30.6</t>
  </si>
  <si>
    <t>21.1</t>
  </si>
  <si>
    <t>30.7</t>
  </si>
  <si>
    <t>7.4</t>
  </si>
  <si>
    <t>7.5</t>
  </si>
  <si>
    <t>Прокладка воздуховодов из листовой, оцинкованной стали и алюминия класса Н (нормальные) толщиной: 0,8 мм, диаметром до 200 мм</t>
  </si>
  <si>
    <t>Отвод круглого воздуховода 90° ⌀100-⌀100, класс герметичности A</t>
  </si>
  <si>
    <t>Воздуховод из оцинкованной стали б=0,8 мм ø100</t>
  </si>
  <si>
    <t>Ирисовый клапан регулирующий диаметром  100 мм IRD 100</t>
  </si>
  <si>
    <t>Прокладка воздуховодов из листовой, оцинкованной стали и алюминия класса Н (нормальные) толщиной: 0,9 мм, периметром 800, 1000 мм</t>
  </si>
  <si>
    <t>Врезка круглая ⌀100-⌀100, класс герметичности B</t>
  </si>
  <si>
    <t>Отвод круглого воздуховода 90° ⌀100-⌀100, класс герметичности B</t>
  </si>
  <si>
    <t>Воздуховод из тонколистовой оцинкованной стали 150x250</t>
  </si>
  <si>
    <t>Воздуховод из тонколистовой оцинкованной стали 250x150</t>
  </si>
  <si>
    <t>Врезка прямоугольная 150x250-150x250, класс герм. B</t>
  </si>
  <si>
    <t>Отвод прямоугольного воздуховода 90° 150x250-150x250, класс герм. B</t>
  </si>
  <si>
    <t>Отвод прямоугольного воздуховода 90° 250x150-250x150, класс герм.B</t>
  </si>
  <si>
    <t>крепления воздуховодов</t>
  </si>
  <si>
    <t>Прокладка воздуховодов из листовой, оцинкованной стали и алюминия класса Н (нормальные) толщиной: 0,9 мм, периметром от 1100 до 1600 мм</t>
  </si>
  <si>
    <t>Воздуховод из тонколистовой оцинкованной стали 250x400</t>
  </si>
  <si>
    <t>Воздуховод из тонколистовой оцинкованной стали 250x500</t>
  </si>
  <si>
    <t>Воздуховод из тонколистовой оцинкованной стали 400x250</t>
  </si>
  <si>
    <t>Воздуховод из тонколистовой оцинкованной стали 500x250</t>
  </si>
  <si>
    <t>Заглушка прямоугольная 250x150, класс герметичности B</t>
  </si>
  <si>
    <t>Переход воздуховода с круглого на прямоугольное сечение 150x150-⌀100</t>
  </si>
  <si>
    <t>Переход воздуховода с круглого на прямоугольное сечение 200x150-⌀100</t>
  </si>
  <si>
    <t>Врезка прямоугольная 400x250-400x250</t>
  </si>
  <si>
    <t>Заглушка прямоугольная 250x400</t>
  </si>
  <si>
    <t>Врезка прямоугольная 500x250-500x250</t>
  </si>
  <si>
    <t>Отвод прямоугольного воздуховода 90° 250x400-250x400</t>
  </si>
  <si>
    <t>Отвод прямоугольного воздуховода 90° 250x500-250x500</t>
  </si>
  <si>
    <t>Отвод прямоугольного воздуховода 90° 500x250-500x250</t>
  </si>
  <si>
    <t>Прокладка воздуховодов из листовой, оцинкованной стали и алюминия класса Н (нормальные) толщиной: 0,9 мм, периметром до 2400 мм</t>
  </si>
  <si>
    <t>Воздуховод из тонколистовой оцинкованной стали 600x500</t>
  </si>
  <si>
    <t>Воздуховод из тонколистовой оцинкованной стали 600x400</t>
  </si>
  <si>
    <t>Прокладка воздуховодов из листовой, оцинкованной стали и алюминия класса Н (нормальные) толщиной: 0,7 и 0,9 мм, периметром до 3200 мм</t>
  </si>
  <si>
    <t>Воздуховод из тонколистовой оцинкованной стали 800x600, δ=0.7</t>
  </si>
  <si>
    <t>Воздуховод из тонколистовой оцинкованной стали 800x600, δ=0.9</t>
  </si>
  <si>
    <t>Клапан противопожарный универсальный прямоугольный КПУ-1Н-О-250x150</t>
  </si>
  <si>
    <t>Клапан противопожарный универсальный прямоугольный КПУ-1Н-О-400x250</t>
  </si>
  <si>
    <t>Клапан противопожарный универсальный прямоугольный КПУ-1Н-О-500x250</t>
  </si>
  <si>
    <t>Договорная  цена</t>
  </si>
  <si>
    <t>Решетка с поворотными жалюзи однорядная АМН 200*150</t>
  </si>
  <si>
    <t>Решетка с поворотными жалюзи однорядна АМН 150*150</t>
  </si>
  <si>
    <t>2.6</t>
  </si>
  <si>
    <t>Воздуховод из тонколистовой оцинкованной стали 250x300</t>
  </si>
  <si>
    <t>Воздуховод из тонколистовой оцинкованной стали 400x300</t>
  </si>
  <si>
    <t>Врезка прямоугольная 300x250-300x250</t>
  </si>
  <si>
    <t>Заглушка прямоугольная 250x300</t>
  </si>
  <si>
    <t>Отвод прямоугольного воздуховода 90° 250x300-250x300</t>
  </si>
  <si>
    <t>Воздуховод из тонколистовой оцинкованной стали 500x400</t>
  </si>
  <si>
    <t xml:space="preserve">Врезка прямоугольная 500x600-500x600, </t>
  </si>
  <si>
    <t>Переход прямоугольного сечения 600x500-600x400</t>
  </si>
  <si>
    <t>Клапан противопожарный универсальный прямоугольный КПУ-1Н-О-300x250</t>
  </si>
  <si>
    <t>Устройство защитных конструций воздуховодов</t>
  </si>
  <si>
    <t>Гибкий материал из вспененного каучука, толщина 25 мм</t>
  </si>
  <si>
    <t>Гибкий покровный материал из стеклоткани с покрытием из алюминиевой фольги, самоклеющийся</t>
  </si>
  <si>
    <t>Вентилятор вытяжной бытовой ECOAIR DESIGN ECOWATT</t>
  </si>
  <si>
    <t>Решетка наружная круглая РКМ100</t>
  </si>
  <si>
    <t>Воздуховод из тонколистовой оцинкованной стали ⌀100, δ=0.5</t>
  </si>
  <si>
    <t>Воздуховод из тонколистовой оцинкованной стали ⌀100, δ=0.8</t>
  </si>
  <si>
    <t>Огнезащитный материал МБОР -5Ф</t>
  </si>
  <si>
    <t>Клеящая смесь "Плазас"</t>
  </si>
  <si>
    <t>Изоляция воздуховодов и их креплений огнезащитными материалами: 30 мин; 1 слой 5 мм</t>
  </si>
  <si>
    <t>Установка оконных приточных клапанов</t>
  </si>
  <si>
    <t>Оконный приточный клапан Air-Box Comfort</t>
  </si>
  <si>
    <t>Раздел №1</t>
  </si>
  <si>
    <t>Раздел №5</t>
  </si>
  <si>
    <t>Воздуховод из тонколистовой оцинкованной стали 400x150</t>
  </si>
  <si>
    <t>Прокладка воздуховодов из листовой, оцинкованной стали и алюминия класса Н (нормальные) толщиной: 0,7 мм, периметром от 1100 до 1600 мм</t>
  </si>
  <si>
    <t>Наружная решетка АРН 400х150</t>
  </si>
  <si>
    <t>Решетка с поворотными жалюзи двухрядная с регулятором расхода АДР 400х150</t>
  </si>
  <si>
    <t>ПЕ1.1 и ПЕ1.2</t>
  </si>
  <si>
    <t>Приточные и вытяжные установки секции</t>
  </si>
  <si>
    <t>Монтаж приточной установки мощностью 20-100м3/час</t>
  </si>
  <si>
    <t>Приточное устройство Tion Бризер Lite</t>
  </si>
  <si>
    <t>Решетка наружная круглая РНК-125</t>
  </si>
  <si>
    <t>Изоляция воздуховодов изделиями из вспененного каучука</t>
  </si>
  <si>
    <t>ВЕ1.1</t>
  </si>
  <si>
    <t>Воздуховод из тонколистовой оцинкованной стали 300x300, δ=0.7</t>
  </si>
  <si>
    <t>Воздуховод из тонколистовой оцинкованной стали 300x300, δ=0.9</t>
  </si>
  <si>
    <t>Отвод прямоугольного воздуховода 90° 300x300-300x300, класс герметичности B</t>
  </si>
  <si>
    <t>Сетка стальная защитная на воздуховод</t>
  </si>
  <si>
    <t>Клапан противопожарный универсальный прямоугольный КПУ-1Н-О-300x300</t>
  </si>
  <si>
    <t>5.5</t>
  </si>
  <si>
    <t>8.2</t>
  </si>
  <si>
    <t>Врезка прямоугольная 150x100-150x100</t>
  </si>
  <si>
    <t>Заглушка круглая ⌀100</t>
  </si>
  <si>
    <t>Отвод круглого воздуховода 90° ⌀100-⌀100</t>
  </si>
  <si>
    <t>Отвод круглого воздуховода 45° ⌀100-⌀100 (0,07)</t>
  </si>
  <si>
    <t>Отвод круглого воздуховода 90° ⌀100-⌀100 (0,1)</t>
  </si>
  <si>
    <t>8.3</t>
  </si>
  <si>
    <t>Установка клапанов обратных диаметром: до 355 мм</t>
  </si>
  <si>
    <t>Канал-КОЛ-К клапан обратный для круглых каналов диаметром 100 мм</t>
  </si>
  <si>
    <t>10</t>
  </si>
  <si>
    <t>Установка клапанов огнезадерживающих диаметром: до 355 мм</t>
  </si>
  <si>
    <t>Установка решеток вентиляционных</t>
  </si>
  <si>
    <t>Решетка наружная круглая РКМ 100</t>
  </si>
  <si>
    <t>12</t>
  </si>
  <si>
    <t>Установка шумоглушителя трубчатого для круглых каналов диаметр 100-600</t>
  </si>
  <si>
    <t>Канал-ГКК шумоглушитель канальный трубчатый для круглых каналов Канал-ГКК-100-600</t>
  </si>
  <si>
    <t>Канал-ВЕНТ канальный вентилятор для круглых каналов, типоразмер 100 Канал-ВЕНТ-100</t>
  </si>
  <si>
    <t>Противодымная защита</t>
  </si>
  <si>
    <t>Раздел №6</t>
  </si>
  <si>
    <t>ДП1.1</t>
  </si>
  <si>
    <t>Вентилятор ОСА 501-080-Н-00550/4-У2 (95 кг)</t>
  </si>
  <si>
    <t>Монтажная опора МОП-ОСА-080-С</t>
  </si>
  <si>
    <t>Прокладка воздуховодов из листовой, оцинкованной стали и алюминия класса Н (нормальные) толщиной: 0,8 мм, диаметром до 800 мм</t>
  </si>
  <si>
    <t>Воздуховод из тонколистовой оцинкованной стали ⌀800, δ=0.8</t>
  </si>
  <si>
    <t>Отвод круглого воздуховода 45° ⌀800-⌀800 δ=0.8</t>
  </si>
  <si>
    <t>Сетка N 20 из проволоки диаметром 1.6 мм 20-1.6ОНУ</t>
  </si>
  <si>
    <t>Сетка защитная проволочная СЕП СЕП-080-С</t>
  </si>
  <si>
    <t>Клапан противопожарный обратный ПРОК ПРОК-1-Н-800-2*000</t>
  </si>
  <si>
    <t>Установка клапанов противопожарных диаметром: до 800 мм</t>
  </si>
  <si>
    <t>Клапан противопожарный универсальный КПУ-2НСН -З-0-0-0-0-0-0 -Н-800-2*ф-MB230-</t>
  </si>
  <si>
    <t xml:space="preserve">Изоляция воздуховодов и их креплений огнезащитными материалами: 120 мин; </t>
  </si>
  <si>
    <t>Огнезащитный материал МБОР -13Ф</t>
  </si>
  <si>
    <t>Клеящая смесь "Плазас" слой 2мм</t>
  </si>
  <si>
    <t>Клеящая смесь "Плазас" (слой 0,5 мм)</t>
  </si>
  <si>
    <t>ДП1.2</t>
  </si>
  <si>
    <t>Вентилятор осевой ОСА 501, типоразмер 071, ОСА 501-071-Н-00550/2-У2</t>
  </si>
  <si>
    <t>Монтажная опора МОП-ОСА-071-С</t>
  </si>
  <si>
    <t>Воздуховод из тонколистовой оцинкованной стали ⌀710, δ=0.8</t>
  </si>
  <si>
    <t>Сетка защитная проволочная СЕП СЕП-071-С</t>
  </si>
  <si>
    <t>Отвод круглого воздуховода 45° ⌀710-⌀710 δ=0.8</t>
  </si>
  <si>
    <t>Переход круглого сечения ⌀710-⌀700</t>
  </si>
  <si>
    <t>Клапан противопожарный обратный ПРОК ПРОК-1-Н-710-2*000</t>
  </si>
  <si>
    <t>Клапан противопожарный универсальный КПУ-2НСН -З-0-0-0-0-0-0 -Н-710-2*ф-MB230-</t>
  </si>
  <si>
    <t>ДП1.3</t>
  </si>
  <si>
    <t>Установка вентиляторов крышных массой: до 0,05 т</t>
  </si>
  <si>
    <t>Вентилятор осевой ОСА 501, типоразмер 056 ОСА 501-056-Н-00150/2-У2</t>
  </si>
  <si>
    <t>Монтажная опора МОП-ОСА-056-С</t>
  </si>
  <si>
    <t>Установка клапанов противопожарных диаметром: до 560 мм</t>
  </si>
  <si>
    <t>Клапан противопожарный обратный ПРОК-1-Н-560-2*000</t>
  </si>
  <si>
    <t>Клапан противопожарный ГЕРМИК MB230- -ДУ ВН--0- З-750x400-1* РОН110-0-0ф-</t>
  </si>
  <si>
    <t>Воздуховод из тонколистовой оцинкованной стали 750x400</t>
  </si>
  <si>
    <t>Врезка прямоугольная 400x750-400x750, класс герм B</t>
  </si>
  <si>
    <t>Прокладка воздуховодов из листовой, оцинкованной стали и алюминия класса Н (нормальные) толщиной: 0,9 мм, периметром до 3200 мм</t>
  </si>
  <si>
    <t>Воздуховод из тонколистовой оцинкованной стали 800x500</t>
  </si>
  <si>
    <t>Заглушка прямоугольная 800x500, класс герметичности B</t>
  </si>
  <si>
    <t>Отвод прямоугольного воздуховода 90° 500x800-500x800</t>
  </si>
  <si>
    <t>Отвод прямоугольного воздуховода 90° 800x500-800x500</t>
  </si>
  <si>
    <t>Переход воздуховода с круглого на прямоугольное сечение 800x500- ⌀560</t>
  </si>
  <si>
    <t>Прокладка воздуховодов из листовой, оцинкованной стали и алюминия класса Н (нормальные) толщиной: 0,8 мм, диаметром от 500 до 560 мм</t>
  </si>
  <si>
    <t>Воздуховод из тонколистовой оцинкованной стали ⌀560, δ=0.8</t>
  </si>
  <si>
    <t>Отвод круглого воздуховода 45° ⌀560-⌀560</t>
  </si>
  <si>
    <t>Переход круглого сечения ⌀560-⌀550</t>
  </si>
  <si>
    <t>Сетка защитная проволочная СЕП-056-С</t>
  </si>
  <si>
    <t>ДВ1.1</t>
  </si>
  <si>
    <t>Монтаж оборудования на открытой площадке: масса оборудования, т: 0.15</t>
  </si>
  <si>
    <t>Воздуховод из тонколистовой оцинкованной стали 750x450</t>
  </si>
  <si>
    <t>Врезка прямоугольная 450x750-450x750</t>
  </si>
  <si>
    <t>Заглушка прямоугольная 800x500</t>
  </si>
  <si>
    <t>Компенсатор линейных расширений СОМ 560-КАНАЛ-800х500-С</t>
  </si>
  <si>
    <t>СЕКЦИЯ 2</t>
  </si>
  <si>
    <t>СЕКЦИЯ 1</t>
  </si>
  <si>
    <t xml:space="preserve"> Вентиляция жилья ПЕЖ1</t>
  </si>
  <si>
    <t>Вентиляция жилья. Система В1.1.1.</t>
  </si>
  <si>
    <t>Вентиляция жилья.  Система В1.1.2.</t>
  </si>
  <si>
    <t>Вентиляция жилья. Система В2.1.1</t>
  </si>
  <si>
    <t>Отвод прямоугольного воздуховода 90° 400x250-400x250</t>
  </si>
  <si>
    <t>Воздуховод из тонколистовой оцинкованной стали 600x300</t>
  </si>
  <si>
    <t>Заглушка прямоугольная 600x300</t>
  </si>
  <si>
    <t>Клапан противопожарный универсальный прямоугольный КПУ-1Н-О-600x300</t>
  </si>
  <si>
    <t>Вентиляция жилья. Система В2.1.2</t>
  </si>
  <si>
    <t>Воздуховод из тонколистовой оцинкованной стали 300x250</t>
  </si>
  <si>
    <t>Заглушка прямоугольная 250х400</t>
  </si>
  <si>
    <t>Заглушка прямоугольная 250x500</t>
  </si>
  <si>
    <t>Приточные и вытяжные установки секции 2.</t>
  </si>
  <si>
    <t>Прокладка воздуховодов из листовой, оцинкованной стали и алюминия класса Н (нормальные) толщиной: 0,7 мм, периметром 800, 1000 мм</t>
  </si>
  <si>
    <t>Воздуховод из тонколистовой оцинкованной стали 300x150</t>
  </si>
  <si>
    <t>Сетка защитная стальная на воздуховод</t>
  </si>
  <si>
    <t>Решетка с поворотными жалюзи двухрядная с регулятором расхода АДР 300х150</t>
  </si>
  <si>
    <t>Клапан противопожарный универсальный КПУ-1Н-О-150x150- MB230 Н-2*ф-МВ230</t>
  </si>
  <si>
    <t>Воздуховод из тонколистовой оцинкованной стали 150x150, δ=0.5</t>
  </si>
  <si>
    <t>Решетка с поворотными жалюзи двухрядная с регулятором расхода АДР 150х150</t>
  </si>
  <si>
    <t>Воздуховод из тонколистовой оцинкованной стали ⌀125, δ=0.5</t>
  </si>
  <si>
    <t>ВЕ2.1 - ВЕ2.3</t>
  </si>
  <si>
    <t>Воздуховод из тонколистовой оцинкованной стали 300x300 δ=0.7</t>
  </si>
  <si>
    <t>Установка решеток стальных</t>
  </si>
  <si>
    <t>Решетка наружная РН 300x300</t>
  </si>
  <si>
    <t>Решетка с поворотными жалюзи однорядная АМН 150х150</t>
  </si>
  <si>
    <t>Установка решеток жалюзийных стальных  с поворотными жалюзи размер 150х150 мм</t>
  </si>
  <si>
    <t>Воздуховод из тонколистовой оцинкованной стали ⌀160, δ=0.5</t>
  </si>
  <si>
    <t>Воздуховод из тонколистовой оцинкованной стали ⌀160, δ=0.8</t>
  </si>
  <si>
    <t>Переход воздуховода с круглого на прямоугольное сечение 200x100-⌀100</t>
  </si>
  <si>
    <t>Переход воздуховода с круглого на прямоугольное сечение 300x150-⌀125</t>
  </si>
  <si>
    <t>Переход круглого сечения ⌀160-⌀125, класс герметичности A</t>
  </si>
  <si>
    <t>Установка клапанов огнезадерживающих диаметром до 200 мм</t>
  </si>
  <si>
    <t>Клапан противопожарный универсальный КПУ-1Н-О-100-Н-2*ф-MB230</t>
  </si>
  <si>
    <t>Клапан противопожарный универсальный КПУ-1Н-О-160-Н-2*ф-MB230</t>
  </si>
  <si>
    <r>
      <t xml:space="preserve">Решетка наружная круглая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100 РКМ 100</t>
    </r>
  </si>
  <si>
    <r>
      <t xml:space="preserve">Решетка наружная круглая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160 РКМ 160</t>
    </r>
  </si>
  <si>
    <t>Решетка с поворотными жалюзи однорядная АМН 150х100</t>
  </si>
  <si>
    <t>Решетка с поворотными жалюзи однорядная АМН 200х100</t>
  </si>
  <si>
    <t>Решетка с поворотными жалюзи однорядная АМН 300х150</t>
  </si>
  <si>
    <t>Установка диффузоров воздуха</t>
  </si>
  <si>
    <t>Диффузор универсальный пластиковый ДПУ-М 100</t>
  </si>
  <si>
    <t>Канал-ВЕНТ канальный вентилятор для круглых каналов, типоразмер 100 Канал-ВЕНТ-125</t>
  </si>
  <si>
    <t>Канал-КОЛ-К клапан обратный для круглых каналов диаметром 160 мм</t>
  </si>
  <si>
    <t>ДП2.1</t>
  </si>
  <si>
    <t>ДП2.2</t>
  </si>
  <si>
    <t>ДП2.3</t>
  </si>
  <si>
    <t>Клапан противопожарный ГЕРМИК -ДУ- З-750x400-1*ф-MB230-ВН-0-РОН110-0-0</t>
  </si>
  <si>
    <t>Воздуховод из тонколистовой оцинкованной стали 1000х400</t>
  </si>
  <si>
    <t>Заглушка прямоугольная 1000x400, класс герметичности B</t>
  </si>
  <si>
    <t>Отвод прямоугольного воздуховода 90° 400x1000-400x1000</t>
  </si>
  <si>
    <t>Отвод прямоугольного воздуховода 90° 1000x400-1000x400</t>
  </si>
  <si>
    <t>Переход воздуховода с круглого на прямоугольное сечение 1000x400- ⌀560</t>
  </si>
  <si>
    <t>ДП2.4</t>
  </si>
  <si>
    <t>Установка клапанов огнезадерживающих периметром: до 2300 мм</t>
  </si>
  <si>
    <t>Клапан противопожарныйГЕРМИК MB230- -ДУ ВН--0- З-750x400-1* РОН110-0-0ф</t>
  </si>
  <si>
    <t>ДВ 2.1</t>
  </si>
  <si>
    <t>Стакан монтажный СТАМ 401-63-Н-МВ230-У1</t>
  </si>
  <si>
    <t>Вентилятор крышный радиальный УКРОС61-063-ДУ400-Н-
00400/4-У1</t>
  </si>
  <si>
    <t>Воздуховод из тонколистовой оцинкованной стали 630x630</t>
  </si>
  <si>
    <t>Воздуховод из тонколистовой оцинкованной стали 1000x400</t>
  </si>
  <si>
    <t>Заглушка прямоугольная 1000x400</t>
  </si>
  <si>
    <t>Компенсатор линейных расширений СОМ 560-КАНАЛ-1000х400-С</t>
  </si>
  <si>
    <t>ДВ2.2</t>
  </si>
  <si>
    <t>КОММЕРЧЕСКОЕ ПРЕДЛОЖЕНИЕ  № 1</t>
  </si>
  <si>
    <t>Общеобменная вентиляция. Вентиляция дымоудаления.</t>
  </si>
  <si>
    <t>Обоснование затрат</t>
  </si>
  <si>
    <t>3.4</t>
  </si>
  <si>
    <t>3.5</t>
  </si>
  <si>
    <t>4.4</t>
  </si>
  <si>
    <t>4.5</t>
  </si>
  <si>
    <t>4.6</t>
  </si>
  <si>
    <t>4.7</t>
  </si>
  <si>
    <t>4.8</t>
  </si>
  <si>
    <t>5.6</t>
  </si>
  <si>
    <t>5.7</t>
  </si>
  <si>
    <t>5.8</t>
  </si>
  <si>
    <t>5.9</t>
  </si>
  <si>
    <t>5.10</t>
  </si>
  <si>
    <t>5.11</t>
  </si>
  <si>
    <t>6.6</t>
  </si>
  <si>
    <t>6.7</t>
  </si>
  <si>
    <t>6.8</t>
  </si>
  <si>
    <t>13.2</t>
  </si>
  <si>
    <t>13.3</t>
  </si>
  <si>
    <t>13.4</t>
  </si>
  <si>
    <t>13.5</t>
  </si>
  <si>
    <t>13.6</t>
  </si>
  <si>
    <t>14.2</t>
  </si>
  <si>
    <t>14.3</t>
  </si>
  <si>
    <t>14.4</t>
  </si>
  <si>
    <t>14.5</t>
  </si>
  <si>
    <t>16.2</t>
  </si>
  <si>
    <t>16.4</t>
  </si>
  <si>
    <t>16.3</t>
  </si>
  <si>
    <t>16.5</t>
  </si>
  <si>
    <t>17.4</t>
  </si>
  <si>
    <t>17.5</t>
  </si>
  <si>
    <t>17.6</t>
  </si>
  <si>
    <t>17.7</t>
  </si>
  <si>
    <t>17.8</t>
  </si>
  <si>
    <t>17.9</t>
  </si>
  <si>
    <t>17.10</t>
  </si>
  <si>
    <t>17.11</t>
  </si>
  <si>
    <t>18.4</t>
  </si>
  <si>
    <t>18.5</t>
  </si>
  <si>
    <t>18.6</t>
  </si>
  <si>
    <t>18.7</t>
  </si>
  <si>
    <t>19.4</t>
  </si>
  <si>
    <t>19.5</t>
  </si>
  <si>
    <t>19.3</t>
  </si>
  <si>
    <t>25.5</t>
  </si>
  <si>
    <t>25.6</t>
  </si>
  <si>
    <t>Итого</t>
  </si>
  <si>
    <t xml:space="preserve">ИТОГО </t>
  </si>
  <si>
    <t>Всего вентиляция жилья секция 1</t>
  </si>
  <si>
    <t>Раздел №2</t>
  </si>
  <si>
    <t>10.4</t>
  </si>
  <si>
    <t>Раздел №3</t>
  </si>
  <si>
    <t>ИТОГО</t>
  </si>
  <si>
    <t>Всего приточные и вытяжные установки секции 1</t>
  </si>
  <si>
    <t>Всего дымоудаление секции 1</t>
  </si>
  <si>
    <t xml:space="preserve"> Вентиляция жилья ПЕЖ2</t>
  </si>
  <si>
    <t>Раздел №4</t>
  </si>
  <si>
    <t>6.9</t>
  </si>
  <si>
    <t>7.6</t>
  </si>
  <si>
    <t>18.8</t>
  </si>
  <si>
    <t>18.9</t>
  </si>
  <si>
    <t>18.10</t>
  </si>
  <si>
    <t>18.11</t>
  </si>
  <si>
    <t>18.12</t>
  </si>
  <si>
    <t>18.13</t>
  </si>
  <si>
    <t>19.6</t>
  </si>
  <si>
    <t>26.4</t>
  </si>
  <si>
    <t>26.5</t>
  </si>
  <si>
    <t>26.6</t>
  </si>
  <si>
    <t>26.7</t>
  </si>
  <si>
    <t>Отвод круглого воздуховода 90° ⌀100-⌀100, класс герм. B</t>
  </si>
  <si>
    <t>Отвод круглого воздуховода 90° ⌀100-⌀100, класс герм. A</t>
  </si>
  <si>
    <t>Всего вентиляция жилья секции 2</t>
  </si>
  <si>
    <t>Воздуховод из тонколистовой оцинк. стали 150x150, δ=0.5</t>
  </si>
  <si>
    <t>11.4</t>
  </si>
  <si>
    <t>11.5</t>
  </si>
  <si>
    <t>Воздуховод из тонколистовой оцинк. стали 300x300 δ=0.9</t>
  </si>
  <si>
    <t>Отвод прямоуг. воздуховода 90° 300x300-300x300,  δ=0.9</t>
  </si>
  <si>
    <t>Отвод круглого воздуховода 90° ⌀160-⌀160, класс герм. B</t>
  </si>
  <si>
    <t>Всего установки секции 2</t>
  </si>
  <si>
    <t>20.6</t>
  </si>
  <si>
    <t>20.7</t>
  </si>
  <si>
    <t>21.5</t>
  </si>
  <si>
    <t>25.7</t>
  </si>
  <si>
    <t>Итого по разделу</t>
  </si>
  <si>
    <t>Всего по дымоудалению секции 2</t>
  </si>
  <si>
    <t>Отвод круглого воздуховода 45° ⌀100-⌀100, класс герм. A</t>
  </si>
  <si>
    <t>Отвод круглого воздуховода 90° ⌀100-⌀100, класс герм A</t>
  </si>
  <si>
    <t>Клапан дымовой, исполнения 03, стенового типа, с электроприводом BELIMO на 230В, КЭД-03-750*450-1*ф-MB230-ВН-0-РОН110-МРЗ-К</t>
  </si>
  <si>
    <t>Отвод круглого воздуховода 90° ⌀100-⌀100, класс герм. А</t>
  </si>
  <si>
    <t>Отвод круглого воздуховода 90° ⌀100-⌀100, класс герм.B</t>
  </si>
  <si>
    <t>Клапан дымовой, исполнения 03, стенового типа, с электроприводом BELIMO на 230В,  КЭД-03-750*450-1*ф-MB230-ВН-0-РОН110-МРЗ-К</t>
  </si>
  <si>
    <t>Клапан дымовой, исполнения 03, стенового типа, с электроприводом BELIMO на 230В,   КЭД-03-750*450-1*ф-MB230-ВН-0-РОН110-МРЗ-К</t>
  </si>
  <si>
    <t>5.12</t>
  </si>
  <si>
    <t>Отвод прямоугольного воздуховода 90° 400х250-400х250</t>
  </si>
  <si>
    <t>5.13</t>
  </si>
  <si>
    <t>3.6</t>
  </si>
  <si>
    <t>Установка решетки наружной</t>
  </si>
  <si>
    <t>10.5</t>
  </si>
  <si>
    <t>10.6</t>
  </si>
  <si>
    <t>Подключение жил кабелей к оборудованию</t>
  </si>
  <si>
    <t>жила</t>
  </si>
  <si>
    <t>1а</t>
  </si>
  <si>
    <t>5а</t>
  </si>
  <si>
    <t>9а</t>
  </si>
  <si>
    <t>22а</t>
  </si>
  <si>
    <t>16а</t>
  </si>
  <si>
    <t>24а</t>
  </si>
  <si>
    <t>29а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</si>
  <si>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18</t>
  </si>
  <si>
    <t>Р</t>
  </si>
  <si>
    <t>L</t>
  </si>
  <si>
    <t>Отвод прямоугольного воздуховода 30° 400х250-400х250</t>
  </si>
  <si>
    <t>Переход прямоугольного сечения 500x400-400x250</t>
  </si>
  <si>
    <t>Переход прямоугольного сечения 600x500-400x250</t>
  </si>
  <si>
    <t>Переход прямоугольного сечения 600x500-500x400</t>
  </si>
  <si>
    <t>Воздуховод из тонколистовой оцинкованной стали 800x800, δ=0.9</t>
  </si>
  <si>
    <t>Врезка прямоугольная 800х800-800х800, клас герм. В</t>
  </si>
  <si>
    <t>Переход прямоугольного сечения 800x600-600x500</t>
  </si>
  <si>
    <t>Переход прямоугольного сечения 800x800-800x600</t>
  </si>
  <si>
    <t>Прокладка воздуховодов из листовой, оцинкованной стали и алюминия класса Н (нормальные) толщиной: 0,7 и 0,9 мм, периметром 4000 мм</t>
  </si>
  <si>
    <t>Воздуховод из тонколистовой оцинкованной стали 1000x1000, δ=0.7</t>
  </si>
  <si>
    <t>Воздуховод из тонколистовой оцинкованной стали 1000x1000, δ=0.9</t>
  </si>
  <si>
    <t>Заглушка прямоугольная 1000x1000, класс герметичности B</t>
  </si>
  <si>
    <t>Отвод прямоугольного воздуховода 90° 1000x1000-1000x1000,  δ=0.7</t>
  </si>
  <si>
    <t>Переход прямоугольного сечения 1225x895-1000x1000, класс герм А</t>
  </si>
  <si>
    <t>8.4</t>
  </si>
  <si>
    <t>8.5</t>
  </si>
  <si>
    <t>8.6</t>
  </si>
  <si>
    <t>9.3</t>
  </si>
  <si>
    <t>9.4</t>
  </si>
  <si>
    <t>Установка решеток жалюзийных стальных: щелевых регулирующих (Р) номер 200 размер 2000х150 мм</t>
  </si>
  <si>
    <t>Монтаж крышного оборудования: масса оборудования, т: 0,654</t>
  </si>
  <si>
    <t>Кондиционер центральный каркасно-панельный ВЕРОСА-500-115-04-10-У1, с расходом воздуха 12730 м³/ч, с рамой высотой 150 мм</t>
  </si>
  <si>
    <t>Воздуховод из тонколистовой оцинкованной стали , 250х500</t>
  </si>
  <si>
    <t>Врезка прямоугольная 500х250-500х250</t>
  </si>
  <si>
    <t>Заглушка прямоугольная 250х500</t>
  </si>
  <si>
    <t>Воздуховод из тонколистовой оцинкованной стали 800x400</t>
  </si>
  <si>
    <t>Врезка прямоугольная 400x800-400x800</t>
  </si>
  <si>
    <t>Заглушка 600x300</t>
  </si>
  <si>
    <t>Отвод прямоугольного воздуховода 45° 600x400-600x400</t>
  </si>
  <si>
    <r>
      <t>Отвод прямоугольного воздуховода 90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 xml:space="preserve"> 300x600-300х600</t>
    </r>
  </si>
  <si>
    <t>Переход прямоугольного сечения 600x400-150x250</t>
  </si>
  <si>
    <t>Переход прямоугольного сечения 600x400-600x300</t>
  </si>
  <si>
    <t>Переход прямоугольного сечения 800x400-600x500</t>
  </si>
  <si>
    <t>Врезка прямоугольная 600х800-600х800</t>
  </si>
  <si>
    <t>Переход прямоугольного сечения 800х600-600х500</t>
  </si>
  <si>
    <t>Прокладка воздуховодов из листовой, оцинкованной стали и алюминия класса Н (нормальные) толщиной: 0,9 мм, периметром до 4000 мм</t>
  </si>
  <si>
    <t>Заглушка прямоугольная 1000x1000</t>
  </si>
  <si>
    <t>Переход прямоугольного сечения 1525x685-1000x1000,  δ=0.7</t>
  </si>
  <si>
    <t>Монтаж крышного оборудования: масса оборудования, т: 0.649</t>
  </si>
  <si>
    <t>Кондиционер ЦКП Вероса-500-097-04-10-У1</t>
  </si>
  <si>
    <t>Вентиляция жилья. Системы В1.1.3 - В1.1.34</t>
  </si>
  <si>
    <t>Вентилятор вытяжной бытовой</t>
  </si>
  <si>
    <t>Решетка наружная круглая</t>
  </si>
  <si>
    <t>Воздуховод из тонколистовой оцинкованной стали ⌀100, δ=0.5, класс герметичности A</t>
  </si>
  <si>
    <t>Воздуховод из тонколистовой оцинкованной стали ⌀100, δ=0.8, класс В</t>
  </si>
  <si>
    <t>Комбинированное покрытие на основе базальтового рулонного материала, кашированного алюминиевой фольгой, и клеевого состава, 30 мин</t>
  </si>
  <si>
    <t>№ систем вытяжки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</si>
  <si>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</si>
  <si>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</si>
  <si>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</si>
  <si>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</si>
  <si>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</si>
  <si>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</si>
  <si>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</si>
  <si>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</si>
  <si>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</si>
  <si>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</si>
  <si>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</si>
  <si>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</si>
  <si>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</si>
  <si>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</si>
  <si>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</si>
  <si>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</si>
  <si>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</si>
  <si>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</si>
  <si>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</si>
  <si>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</si>
  <si>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</si>
  <si>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</si>
  <si>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</si>
  <si>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</si>
  <si>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</si>
  <si>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</si>
  <si>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</si>
  <si>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</si>
  <si>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</si>
  <si>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</si>
  <si>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</si>
  <si>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</si>
  <si>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 xml:space="preserve">Установка решеток жалюзийных стальных: щелевых регулирующих (Р) </t>
  </si>
  <si>
    <t>П1.1</t>
  </si>
  <si>
    <t>В1.2-В1.4</t>
  </si>
  <si>
    <t>Решетка с поворотными жалюзи однорядна АМН 150*100</t>
  </si>
  <si>
    <t>Клапан противопожарный универсальный КПУ-1Н-СЗH-0-0-0-0-0-0 -Н-800-2*Ф-MB230-СН-0-0-0-0-0-0</t>
  </si>
  <si>
    <t>Отвод круглого воздуховода 30° ⌀710-⌀710 δ=0.9</t>
  </si>
  <si>
    <t>ДП 1.4</t>
  </si>
  <si>
    <t>Воздуховод из тонколистовой оцинкованной стали 500x1000, δ=0.9</t>
  </si>
  <si>
    <t>Воздуховод из тонколистовой оцинкованной стали 1000x500, δ=0.9</t>
  </si>
  <si>
    <t>Отвод прямоугольного воздуховода 90° 500x1000-500x1000</t>
  </si>
  <si>
    <t>Отвод прямоугольного воздуховода 90° 1000x500-1000x500</t>
  </si>
  <si>
    <t>Переход воздуховода с круглого на прямоугольное сечение ⌀800-500х1000</t>
  </si>
  <si>
    <t>Клапан противопожарный универсальный КПУ-2Н</t>
  </si>
  <si>
    <t>ДП1.5</t>
  </si>
  <si>
    <t>Заглушка прямоугольная 1000*400, класс герметичности B</t>
  </si>
  <si>
    <t>ДП1.6</t>
  </si>
  <si>
    <t>Вентилятор крышный радиальный  УКРОС61-063-ДУ400-Н-00400/4-У1</t>
  </si>
  <si>
    <t>Воздуховод из тонколистовой оцинкованной стали 1000x400, δ=0.9</t>
  </si>
  <si>
    <t>Переход прямоугольного сечения 1000x400-630x630</t>
  </si>
  <si>
    <t>Воздуховод из тонколистовой оцинкованной стали 630x630, δ=0.9</t>
  </si>
  <si>
    <t>ДВ1.2</t>
  </si>
  <si>
    <t>Всего секция 1</t>
  </si>
  <si>
    <t>Заглушка прямоугольная 150x250, класс герметичности B</t>
  </si>
  <si>
    <t>Воздуховод из тонколистовой оцинкованной стали 400x400</t>
  </si>
  <si>
    <t>Переход прямоугольного сечения 500x400-150x250, класс герм. В</t>
  </si>
  <si>
    <t>Переход прямоугольного сечения 500x400-400x400, класс герметичности В</t>
  </si>
  <si>
    <t>Переход прямоугольного сечения 400x300-400x250, класс герметичности</t>
  </si>
  <si>
    <t>Переход прямоугольного сечения 400x400-400x300, класс герметичност</t>
  </si>
  <si>
    <t>Воздуховод из тонколистовой оцинкованной стали 800x500, δ=0.9</t>
  </si>
  <si>
    <t>Врезка прямоугольная 500x800-500x800, класс герметичности B</t>
  </si>
  <si>
    <t xml:space="preserve">Отвод прямоугольного воздуховода 45° 500x400-500x400, </t>
  </si>
  <si>
    <t>Переход прямоугольного сечения 800x500-500x400</t>
  </si>
  <si>
    <t>Прокладка воздуховодов из листовой, оцинкованной стали и алюминия класса Н (нормальные) толщиной: 0,7 и 0,9 мм, периметром до 3600 мм</t>
  </si>
  <si>
    <t>Воздуховод из тонколистовой оцинкованной стали 1000x800, δ=0.7</t>
  </si>
  <si>
    <t>Воздуховод из тонколистовой оцинкованной стали 1000x800, δ=0.9</t>
  </si>
  <si>
    <t>Заглушка прямоугольная 1000*800, толщиной 0,9 мм</t>
  </si>
  <si>
    <t>Переход прямоугольного сечения 1525x685-1000x800, толщиной 0,7 мм</t>
  </si>
  <si>
    <t xml:space="preserve">Отвод прямоугольного воздуховода 90° 800x1000-800x1000, </t>
  </si>
  <si>
    <t>Монтаж крышного оборудования: масса оборудования, т: 0.669</t>
  </si>
  <si>
    <t>Воздуховод из тонколистовой оцинкованной стали 600x300, δ=0.9</t>
  </si>
  <si>
    <t>Воздуховод из тонколистовой оцинкованной стали 800x300</t>
  </si>
  <si>
    <t>Отвод прямоугольного воздуховода 45° 600x300-600x300</t>
  </si>
  <si>
    <t>Отвод прямоугольного воздуховода 90° 300x600-300x600</t>
  </si>
  <si>
    <t>Переход прямоугольного сечения  600x400-400x250</t>
  </si>
  <si>
    <t>Переход прямоугольного сечения 800x300-600x300</t>
  </si>
  <si>
    <t>Врезка прямоугольная 500x800-500x800</t>
  </si>
  <si>
    <t>Врезка прямоугольная 600x800-600x800</t>
  </si>
  <si>
    <t>Переход прямоугольного сечения 800x500-600x400</t>
  </si>
  <si>
    <t>Переход прямоугольного сечения 800x500-800x300</t>
  </si>
  <si>
    <t>Переход прямоугольного сечения 800x600-800x500</t>
  </si>
  <si>
    <t>19.7</t>
  </si>
  <si>
    <t>19.8</t>
  </si>
  <si>
    <t xml:space="preserve">Отвод прямоугольного воздуховода 90° 800x1000-800x1000 </t>
  </si>
  <si>
    <t>Монтаж крышного оборудования: масса оборудования, т: 0.673</t>
  </si>
  <si>
    <t>Кондиционер ЦКП ВЕРОСА-500-097-04-10-У1</t>
  </si>
  <si>
    <t>Вентиляция жилья. Системы В2.1.3-В2.1.32</t>
  </si>
  <si>
    <t>СЕКЦИЯ 2 Системы В2.1.3-В2.1.32</t>
  </si>
  <si>
    <t>ПЕ2.1-ПЕ2.8</t>
  </si>
  <si>
    <t>Клапан противопожарный универсальный прямоугольный КПУ-1Н-О-300x150</t>
  </si>
  <si>
    <t>П2.1-П2.2</t>
  </si>
  <si>
    <t>В2.2 - В2.10</t>
  </si>
  <si>
    <t>Воздуховод из тонколистовой оцинкованной стали 750x450, δ=0.9</t>
  </si>
  <si>
    <t>Стакан монтажный СТАМ 401-71-Н-МВ230-У1</t>
  </si>
  <si>
    <t>Вентилятор крышный радиальный УКРОС91,  УКРОС91-071-ДУ400-Н-00300/6-Т1</t>
  </si>
  <si>
    <t xml:space="preserve">Воздуховод из тонколистовой оцинкованной стали 710x710, δ=0.9, </t>
  </si>
  <si>
    <t xml:space="preserve">Переход прямоугольного сечения 710x710-800x500, </t>
  </si>
  <si>
    <t>СЕКЦИЯ 3</t>
  </si>
  <si>
    <t xml:space="preserve"> Вентиляция жилья ПЕЖ3</t>
  </si>
  <si>
    <t>Вентиляция жилья. Система В3.1.1</t>
  </si>
  <si>
    <t>Отвод круглого воздуховода 30° ⌀100-⌀100, класс герметичности A</t>
  </si>
  <si>
    <t>Отвод круглого воздуховода 30° ⌀100-⌀100, класс герметичности B</t>
  </si>
  <si>
    <t>Отвод круглого воздуховода 89,99° ⌀100-⌀100, класс герм. А</t>
  </si>
  <si>
    <t>Врезка прямоугольная 500x250-500x250, класс герм B</t>
  </si>
  <si>
    <t>Заглушка прямоугольная 500x250, класс герметичности B</t>
  </si>
  <si>
    <t>Отвод прямоугольного воздуховода 30° 500x250-500x250</t>
  </si>
  <si>
    <t>Воздуховод из тонколистовой оцинкованной стали 800x300, δ=0.9</t>
  </si>
  <si>
    <t>Переход прямоугольного сечения 600x400-400x250</t>
  </si>
  <si>
    <t>Переход прямоугольного сечения 800x300-500x250</t>
  </si>
  <si>
    <t xml:space="preserve">Переход прямоугольного сечения 800x500-800x300, </t>
  </si>
  <si>
    <t>Переход прямоугольного сечения 800x600-800x500,</t>
  </si>
  <si>
    <t>Вентиляция жилья. Система В3.1.2</t>
  </si>
  <si>
    <t>Воздуховод из тонколистовой оцинкованной стали 250x300, δ=0.9</t>
  </si>
  <si>
    <t>Воздуховод из тонколистовой оцинкованной стали 300x250, δ=0.9</t>
  </si>
  <si>
    <t>Воздуховод из тонколистовой оцинкованной стали 400x300, δ=0.9</t>
  </si>
  <si>
    <t>Воздуховод из тонколистовой оцинкованной стали 400x400, δ=0.9</t>
  </si>
  <si>
    <t xml:space="preserve">Переход прямоугольного сечения 400x300-400x250, </t>
  </si>
  <si>
    <t>Переход прямоугольного сечения 400x400-400x300</t>
  </si>
  <si>
    <t>Воздуховод из тонколистовой оцинкованной стали 500x400, δ=0.9</t>
  </si>
  <si>
    <t>Отвод прямоугольного воздуховода 45° 500x400-500x400</t>
  </si>
  <si>
    <t>Переход прямоугольного сечения 500x400-150x250</t>
  </si>
  <si>
    <t>Переход прямоугольного сечения 500x400-400x400</t>
  </si>
  <si>
    <t>Вентиляция жилья. Системы В3.1.3-В3.1.31</t>
  </si>
  <si>
    <t>СЕКЦИЯ 3 Системы В3.1.3 - В3.1.31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</si>
  <si>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</si>
  <si>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</si>
  <si>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</si>
  <si>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</si>
  <si>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</si>
  <si>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</si>
  <si>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</si>
  <si>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</si>
  <si>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</si>
  <si>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</si>
  <si>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</si>
  <si>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</si>
  <si>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</si>
  <si>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</si>
  <si>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</si>
  <si>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</si>
  <si>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</si>
  <si>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</si>
  <si>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</si>
  <si>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</si>
  <si>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</si>
  <si>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</si>
  <si>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</si>
  <si>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</si>
  <si>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</si>
  <si>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</si>
  <si>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</si>
  <si>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3.1.30</t>
  </si>
  <si>
    <t>3.1.31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</si>
  <si>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</si>
  <si>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</si>
  <si>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</si>
  <si>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</si>
  <si>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</si>
  <si>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</si>
  <si>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</si>
  <si>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</si>
  <si>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</si>
  <si>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</si>
  <si>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</si>
  <si>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</si>
  <si>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</si>
  <si>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</si>
  <si>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</si>
  <si>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</si>
  <si>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</si>
  <si>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</si>
  <si>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</si>
  <si>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</si>
  <si>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</si>
  <si>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</si>
  <si>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</si>
  <si>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</si>
  <si>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</si>
  <si>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</si>
  <si>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</si>
  <si>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</si>
  <si>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</si>
  <si>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</si>
  <si>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СЕКЦИЯ 1 Системы 1.1.3-1.1.34</t>
  </si>
  <si>
    <t>Приточные и вытяжные установки секции 3.</t>
  </si>
  <si>
    <t>Всего вентиляция жилья секции 3</t>
  </si>
  <si>
    <t>ПЕ3.1-ПЕ3.6</t>
  </si>
  <si>
    <t>П3.1</t>
  </si>
  <si>
    <t>ВЕ3.1 - ВЕ3.3</t>
  </si>
  <si>
    <t>В3.2 - В3.6</t>
  </si>
  <si>
    <t>Всего установки секции 3</t>
  </si>
  <si>
    <t>ДП3.1</t>
  </si>
  <si>
    <t>ДП3.2</t>
  </si>
  <si>
    <t>ДП3.3</t>
  </si>
  <si>
    <t>Воздуховод из тонколистовой оцинкованной стали 750x400, 0,7 мм</t>
  </si>
  <si>
    <t>Воздуховод из тонколистовой оцинкованной стали 800х500</t>
  </si>
  <si>
    <t>ДП3.4</t>
  </si>
  <si>
    <t>ДВ3.1</t>
  </si>
  <si>
    <t>ДВ 3.2</t>
  </si>
  <si>
    <t>Всего по дымоудалению секции 3</t>
  </si>
  <si>
    <t>СЕКЦИЯ 4</t>
  </si>
  <si>
    <t>Вентиляция жилья. Система В4.1.1.</t>
  </si>
  <si>
    <t>Отвод прямоугольного воздуховода 90° 150x250-150x250</t>
  </si>
  <si>
    <t xml:space="preserve">Врезка прямоугольная 400x800-400x800, </t>
  </si>
  <si>
    <t xml:space="preserve">Заглушка прямоугольная 600x300 </t>
  </si>
  <si>
    <t>Врезка прямоугольная 600х800-600х800, клас герм. В</t>
  </si>
  <si>
    <t>Переход прямоугольного сечения 1525x685-1000x1000, класс герм А</t>
  </si>
  <si>
    <t>Переход прямоугольного сечения 800x400-600x500,</t>
  </si>
  <si>
    <t>Монтаж крышного оборудования: масса оборудования, т: 0,669</t>
  </si>
  <si>
    <t>Кондиционер центральный каркасно-панельный ВЕРОСА-500-097-04-10-У1</t>
  </si>
  <si>
    <t>Вентиляция жилья.  Система В4.1.2.</t>
  </si>
  <si>
    <t>Воздуховод из тонколистовой оцинкованной стали 250x400, δ=0.9</t>
  </si>
  <si>
    <t xml:space="preserve">Врезка прямоугольная 300x250-300x250, </t>
  </si>
  <si>
    <t>Отвод прямоугольного воздуховода 30° 400x250-400x250</t>
  </si>
  <si>
    <t xml:space="preserve">Отвод прямоугольного воздуховода 90° 250x300-250x300, </t>
  </si>
  <si>
    <t>Врезка прямоугольная 800x800-800x800</t>
  </si>
  <si>
    <t>Переход прямоугольного сечения 800x500-400x250</t>
  </si>
  <si>
    <t>Клапан противопожарный универсальный прямоугольный КПУ-1Н-О-300x250- MB230 Н-2*ф-</t>
  </si>
  <si>
    <t>Вентиляция жилья. Системы В4.1.3 - В4.1.34</t>
  </si>
  <si>
    <t>СЕКЦИЯ 4 Системы 4.1.3-4.1.34</t>
  </si>
  <si>
    <t>Всего вентиляция жилья секция 4</t>
  </si>
  <si>
    <t>Приточные и вытяжные установки секции 4</t>
  </si>
  <si>
    <t>ПЕ4.1 и ПЕ4.2</t>
  </si>
  <si>
    <t>П4.1</t>
  </si>
  <si>
    <t>ВЕ4.1</t>
  </si>
  <si>
    <t>В4.2-В4.4</t>
  </si>
  <si>
    <t>Отвод круглого воздуховода 45° ⌀100-⌀101</t>
  </si>
  <si>
    <t>Всего приточные и вытяжные установки секции 4</t>
  </si>
  <si>
    <t>ДП4.1</t>
  </si>
  <si>
    <t>ДП4.2</t>
  </si>
  <si>
    <t>ДП4.3</t>
  </si>
  <si>
    <t>Воздуховод из тонколистовой оцинкованной стали 750x400, δ=0.7</t>
  </si>
  <si>
    <t>Переход воздуховода с круглого на прямоугольное сечение 800x500-⌀560</t>
  </si>
  <si>
    <t>ДП4.4</t>
  </si>
  <si>
    <t>ДВ4.1</t>
  </si>
  <si>
    <t>Переход прямоугольного сечения 800x500-630x630</t>
  </si>
  <si>
    <t>ДВ4.2</t>
  </si>
  <si>
    <t>Всего дымоудаление секции 4</t>
  </si>
  <si>
    <t>Всего секция 4</t>
  </si>
  <si>
    <t>5.14</t>
  </si>
  <si>
    <t>5.15</t>
  </si>
  <si>
    <t>5.16</t>
  </si>
  <si>
    <t>5.17</t>
  </si>
  <si>
    <t>5.18</t>
  </si>
  <si>
    <t>5.19</t>
  </si>
  <si>
    <t>19.9</t>
  </si>
  <si>
    <t>19.10</t>
  </si>
  <si>
    <t>19.11</t>
  </si>
  <si>
    <t>20.8</t>
  </si>
  <si>
    <t>20.9</t>
  </si>
  <si>
    <t>20.10</t>
  </si>
  <si>
    <t>20.11</t>
  </si>
  <si>
    <t>20.12</t>
  </si>
  <si>
    <t>20.13</t>
  </si>
  <si>
    <t>22.3</t>
  </si>
  <si>
    <t>22.4</t>
  </si>
  <si>
    <t>22.5</t>
  </si>
  <si>
    <t>22.6</t>
  </si>
  <si>
    <t>23.3</t>
  </si>
  <si>
    <t>27а</t>
  </si>
  <si>
    <t>28.2</t>
  </si>
  <si>
    <t>29.2</t>
  </si>
  <si>
    <t>31</t>
  </si>
  <si>
    <t>31.3</t>
  </si>
  <si>
    <t>31.4</t>
  </si>
  <si>
    <t>31.5</t>
  </si>
  <si>
    <t>32</t>
  </si>
  <si>
    <t>32.2</t>
  </si>
  <si>
    <t>11.6</t>
  </si>
  <si>
    <t>Подключение жил кабелей, сеч жилы до 10 мм2</t>
  </si>
  <si>
    <t>Подключение жил кабелей к оборудованию, сеч жилы до 10 мм2</t>
  </si>
  <si>
    <t>13а</t>
  </si>
  <si>
    <t>Подключение жил кабелей к оборудованию, сеч.жилы до 10 мм2</t>
  </si>
  <si>
    <t>14.6</t>
  </si>
  <si>
    <t>18а</t>
  </si>
  <si>
    <t>23а</t>
  </si>
  <si>
    <t>27.3</t>
  </si>
  <si>
    <t>27.4</t>
  </si>
  <si>
    <t>27.5</t>
  </si>
  <si>
    <t>30а</t>
  </si>
  <si>
    <t>31.6</t>
  </si>
  <si>
    <t>31.7</t>
  </si>
  <si>
    <t>34</t>
  </si>
  <si>
    <t>34.1</t>
  </si>
  <si>
    <t>35</t>
  </si>
  <si>
    <t>35.1</t>
  </si>
  <si>
    <t>35а</t>
  </si>
  <si>
    <t>36</t>
  </si>
  <si>
    <t>36.1</t>
  </si>
  <si>
    <t>36.2</t>
  </si>
  <si>
    <t>36.3</t>
  </si>
  <si>
    <t>36.4</t>
  </si>
  <si>
    <t>36.5</t>
  </si>
  <si>
    <t>36.6</t>
  </si>
  <si>
    <t>36.7</t>
  </si>
  <si>
    <t>37.1</t>
  </si>
  <si>
    <t>38</t>
  </si>
  <si>
    <t>38.1</t>
  </si>
  <si>
    <t>38.2</t>
  </si>
  <si>
    <t>12а</t>
  </si>
  <si>
    <t>21.6</t>
  </si>
  <si>
    <t>26а</t>
  </si>
  <si>
    <t>12.4</t>
  </si>
  <si>
    <t>12.5</t>
  </si>
  <si>
    <t>25.8</t>
  </si>
  <si>
    <t>Всего секция 2</t>
  </si>
  <si>
    <t>Раздел №7</t>
  </si>
  <si>
    <t>2.7</t>
  </si>
  <si>
    <t>7.7</t>
  </si>
  <si>
    <t>7.8</t>
  </si>
  <si>
    <t>18.14</t>
  </si>
  <si>
    <t>18.15</t>
  </si>
  <si>
    <t>18.16</t>
  </si>
  <si>
    <t>Раздел № 8</t>
  </si>
  <si>
    <t>12.6</t>
  </si>
  <si>
    <t>12.7</t>
  </si>
  <si>
    <t>12.8</t>
  </si>
  <si>
    <t>Раздел № 9</t>
  </si>
  <si>
    <t>31.8</t>
  </si>
  <si>
    <t>Всего секция 3</t>
  </si>
  <si>
    <t>Раздел №10</t>
  </si>
  <si>
    <t>6.10</t>
  </si>
  <si>
    <t>6.11</t>
  </si>
  <si>
    <t>6.12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</si>
  <si>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</si>
  <si>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</si>
  <si>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</si>
  <si>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</si>
  <si>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</si>
  <si>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</si>
  <si>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</si>
  <si>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</si>
  <si>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21.7</t>
  </si>
  <si>
    <t>21.8</t>
  </si>
  <si>
    <t>21.9</t>
  </si>
  <si>
    <t>23.4</t>
  </si>
  <si>
    <t>23.5</t>
  </si>
  <si>
    <t>23.6</t>
  </si>
  <si>
    <t>Раздел №11</t>
  </si>
  <si>
    <t>Раздел №12</t>
  </si>
  <si>
    <t>15а</t>
  </si>
  <si>
    <t>23.7</t>
  </si>
  <si>
    <t>23.8</t>
  </si>
  <si>
    <t>28.3</t>
  </si>
  <si>
    <t>28.4</t>
  </si>
  <si>
    <t>28.5</t>
  </si>
  <si>
    <t>28.6</t>
  </si>
  <si>
    <t>28.7</t>
  </si>
  <si>
    <t>ИТОГО КП строительная позиция 18</t>
  </si>
  <si>
    <t>в том числе НДС</t>
  </si>
  <si>
    <t>Чертежи №14/П-14-V.18-ОВ2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</si>
</sst>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38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" fontId="1" fillId="0" borderId="40" xfId="0" applyNumberFormat="1" applyFont="1" applyFill="1" applyBorder="1" applyAlignment="1">
      <alignment horizontal="center" vertical="center" wrapText="1"/>
    </xf>
    <xf numFmtId="4" fontId="1" fillId="0" borderId="42" xfId="0" applyNumberFormat="1" applyFont="1" applyFill="1" applyBorder="1" applyAlignment="1">
      <alignment horizontal="center" vertical="center" wrapText="1"/>
    </xf>
    <xf numFmtId="4" fontId="2" fillId="0" borderId="43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4" fontId="1" fillId="0" borderId="45" xfId="0" applyNumberFormat="1" applyFont="1" applyFill="1" applyBorder="1" applyAlignment="1">
      <alignment horizontal="center" vertical="center" wrapText="1"/>
    </xf>
    <xf numFmtId="4" fontId="1" fillId="0" borderId="46" xfId="0" applyNumberFormat="1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4" fontId="1" fillId="0" borderId="4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34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 wrapText="1"/>
    </xf>
    <xf numFmtId="4" fontId="1" fillId="0" borderId="5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42" xfId="0" applyNumberFormat="1" applyFont="1" applyFill="1" applyBorder="1" applyAlignment="1">
      <alignment horizontal="center" vertical="center" wrapText="1"/>
    </xf>
    <xf numFmtId="4" fontId="6" fillId="0" borderId="41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51" xfId="0" applyNumberFormat="1" applyFont="1" applyFill="1" applyBorder="1" applyAlignment="1">
      <alignment horizontal="center" vertical="center" wrapText="1"/>
    </xf>
    <xf numFmtId="4" fontId="2" fillId="0" borderId="52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vertical="center" wrapText="1"/>
    </xf>
    <xf numFmtId="4" fontId="1" fillId="0" borderId="37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4" fontId="1" fillId="0" borderId="38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47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4" fontId="1" fillId="0" borderId="36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4" fontId="1" fillId="0" borderId="5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2" fillId="0" borderId="40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4" fontId="7" fillId="0" borderId="32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9" fontId="8" fillId="0" borderId="44" xfId="0" applyNumberFormat="1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vertical="center" wrapText="1"/>
    </xf>
    <xf numFmtId="4" fontId="1" fillId="0" borderId="58" xfId="0" applyNumberFormat="1" applyFont="1" applyFill="1" applyBorder="1" applyAlignment="1">
      <alignment horizontal="center" vertical="center" wrapText="1"/>
    </xf>
    <xf numFmtId="4" fontId="1" fillId="0" borderId="59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vertical="center" wrapText="1"/>
    </xf>
    <xf numFmtId="49" fontId="8" fillId="0" borderId="31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4" fontId="1" fillId="0" borderId="61" xfId="0" applyNumberFormat="1" applyFont="1" applyFill="1" applyBorder="1" applyAlignment="1">
      <alignment horizontal="center" vertical="center" wrapText="1"/>
    </xf>
    <xf numFmtId="4" fontId="1" fillId="0" borderId="62" xfId="0" applyNumberFormat="1" applyFont="1" applyFill="1" applyBorder="1" applyAlignment="1">
      <alignment horizontal="center" vertical="center" wrapText="1"/>
    </xf>
    <xf numFmtId="4" fontId="1" fillId="0" borderId="63" xfId="0" applyNumberFormat="1" applyFont="1" applyFill="1" applyBorder="1" applyAlignment="1">
      <alignment horizontal="center" vertical="center" wrapText="1"/>
    </xf>
    <xf numFmtId="4" fontId="1" fillId="0" borderId="6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1" fillId="0" borderId="65" xfId="0" applyNumberFormat="1" applyFont="1" applyFill="1" applyBorder="1" applyAlignment="1">
      <alignment horizontal="center" vertical="center" wrapText="1"/>
    </xf>
    <xf numFmtId="4" fontId="1" fillId="0" borderId="54" xfId="0" applyNumberFormat="1" applyFont="1" applyFill="1" applyBorder="1" applyAlignment="1">
      <alignment horizontal="center" vertical="center" wrapText="1"/>
    </xf>
    <xf numFmtId="4" fontId="1" fillId="0" borderId="55" xfId="0" applyNumberFormat="1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2" fillId="0" borderId="4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" fontId="1" fillId="0" borderId="35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4" fontId="1" fillId="0" borderId="41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" fontId="2" fillId="0" borderId="61" xfId="0" applyNumberFormat="1" applyFont="1" applyFill="1" applyBorder="1" applyAlignment="1">
      <alignment horizontal="center" vertical="center" wrapText="1"/>
    </xf>
    <xf numFmtId="4" fontId="2" fillId="0" borderId="6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20" fillId="0" borderId="64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4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49" fontId="1" fillId="0" borderId="52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49" fontId="1" fillId="0" borderId="33" xfId="0" applyNumberFormat="1" applyFont="1" applyFill="1" applyBorder="1" applyAlignment="1">
      <alignment horizontal="center" vertical="center" wrapText="1"/>
    </xf>
    <xf numFmtId="49" fontId="13" fillId="0" borderId="33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right" vertical="center" wrapText="1"/>
    </xf>
    <xf numFmtId="4" fontId="2" fillId="0" borderId="66" xfId="0" applyNumberFormat="1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49" fontId="1" fillId="0" borderId="6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vertical="center" wrapText="1"/>
    </xf>
    <xf numFmtId="4" fontId="2" fillId="0" borderId="60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8" fillId="0" borderId="1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center" vertical="center" wrapText="1"/>
    </xf>
    <xf numFmtId="4" fontId="2" fillId="0" borderId="62" xfId="0" applyNumberFormat="1" applyFont="1" applyFill="1" applyBorder="1" applyAlignment="1">
      <alignment horizontal="center" vertical="center" wrapText="1"/>
    </xf>
    <xf numFmtId="4" fontId="2" fillId="0" borderId="64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4" fontId="5" fillId="0" borderId="26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 wrapText="1"/>
    </xf>
    <xf numFmtId="4" fontId="2" fillId="0" borderId="58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vertical="center" wrapText="1"/>
    </xf>
    <xf numFmtId="0" fontId="24" fillId="0" borderId="3" xfId="0" applyFont="1" applyFill="1" applyBorder="1" applyAlignment="1">
      <alignment horizontal="center" vertical="center"/>
    </xf>
    <xf numFmtId="4" fontId="21" fillId="0" borderId="0" xfId="0" applyNumberFormat="1" applyFont="1" applyFill="1" applyAlignment="1">
      <alignment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3" fontId="8" fillId="0" borderId="25" xfId="0" applyNumberFormat="1" applyFont="1" applyFill="1" applyBorder="1" applyAlignment="1">
      <alignment horizontal="center" vertical="center" wrapText="1"/>
    </xf>
    <xf numFmtId="4" fontId="8" fillId="0" borderId="35" xfId="0" applyNumberFormat="1" applyFont="1" applyFill="1" applyBorder="1" applyAlignment="1">
      <alignment horizontal="center" vertical="center" wrapText="1"/>
    </xf>
    <xf numFmtId="4" fontId="8" fillId="0" borderId="37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/>
    <xf numFmtId="164" fontId="0" fillId="0" borderId="13" xfId="0" applyNumberFormat="1" applyBorder="1"/>
    <xf numFmtId="0" fontId="0" fillId="0" borderId="15" xfId="0" applyBorder="1"/>
    <xf numFmtId="49" fontId="0" fillId="0" borderId="22" xfId="0" applyNumberFormat="1" applyBorder="1" applyAlignment="1">
      <alignment horizontal="center" vertical="center"/>
    </xf>
    <xf numFmtId="0" fontId="0" fillId="0" borderId="1" xfId="0" applyBorder="1"/>
    <xf numFmtId="0" fontId="0" fillId="0" borderId="26" xfId="0" applyBorder="1"/>
    <xf numFmtId="0" fontId="0" fillId="0" borderId="10" xfId="0" applyBorder="1"/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49" fontId="0" fillId="0" borderId="38" xfId="0" applyNumberFormat="1" applyBorder="1" applyAlignment="1">
      <alignment horizontal="center" vertical="center"/>
    </xf>
    <xf numFmtId="0" fontId="0" fillId="0" borderId="3" xfId="0" applyBorder="1"/>
    <xf numFmtId="0" fontId="0" fillId="0" borderId="16" xfId="0" applyBorder="1"/>
    <xf numFmtId="0" fontId="0" fillId="0" borderId="12" xfId="0" applyBorder="1"/>
    <xf numFmtId="0" fontId="0" fillId="0" borderId="20" xfId="0" applyBorder="1"/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25" fillId="0" borderId="17" xfId="0" applyNumberFormat="1" applyFont="1" applyBorder="1" applyAlignment="1">
      <alignment horizontal="center" vertical="center"/>
    </xf>
    <xf numFmtId="0" fontId="25" fillId="0" borderId="23" xfId="0" applyFont="1" applyBorder="1"/>
    <xf numFmtId="0" fontId="1" fillId="0" borderId="0" xfId="0" applyFont="1" applyFill="1" applyBorder="1" applyAlignment="1">
      <alignment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4" fontId="4" fillId="0" borderId="4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7" fillId="0" borderId="3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4" fontId="6" fillId="0" borderId="39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center" vertical="center" wrapText="1"/>
    </xf>
    <xf numFmtId="49" fontId="13" fillId="0" borderId="31" xfId="0" applyNumberFormat="1" applyFont="1" applyFill="1" applyBorder="1" applyAlignment="1">
      <alignment horizontal="center" vertical="center" wrapText="1"/>
    </xf>
    <xf numFmtId="4" fontId="1" fillId="0" borderId="39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3" fillId="0" borderId="24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4" fontId="1" fillId="0" borderId="56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5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4" xfId="0" applyFont="1" applyFill="1" applyBorder="1" applyAlignment="1">
      <alignment vertical="center" wrapText="1"/>
    </xf>
    <xf numFmtId="9" fontId="2" fillId="0" borderId="44" xfId="0" applyNumberFormat="1" applyFont="1" applyFill="1" applyBorder="1" applyAlignment="1">
      <alignment horizontal="center" vertical="center" wrapText="1"/>
    </xf>
    <xf numFmtId="4" fontId="2" fillId="0" borderId="44" xfId="0" applyNumberFormat="1" applyFont="1" applyFill="1" applyBorder="1" applyAlignment="1">
      <alignment horizontal="center" vertical="center" wrapText="1"/>
    </xf>
    <xf numFmtId="4" fontId="2" fillId="0" borderId="4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23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75"/>
  <sheetViews>
    <sheetView tabSelected="1" topLeftCell="A1656" zoomScaleNormal="100" workbookViewId="0">
      <selection activeCell="K1474" sqref="K1474"/>
    </sheetView>
  </sheetViews>
  <sheetFormatPr defaultRowHeight="15" x14ac:dyDescent="0.25"/>
  <cols>
    <col min="1" max="1" width="7" style="1" customWidth="1"/>
    <col min="2" max="2" width="20.42578125" style="197" customWidth="1"/>
    <col min="3" max="3" width="56.5703125" style="1" customWidth="1"/>
    <col min="4" max="4" width="7" style="361" customWidth="1"/>
    <col min="5" max="5" width="9.5703125" style="2" bestFit="1" customWidth="1"/>
    <col min="6" max="8" width="13.42578125" style="2" customWidth="1"/>
    <col min="9" max="9" width="14.85546875" style="2" customWidth="1"/>
    <col min="10" max="10" width="6.28515625" style="115" customWidth="1"/>
    <col min="11" max="11" width="11.42578125" style="115" customWidth="1"/>
    <col min="12" max="19" width="6.28515625" style="115" customWidth="1"/>
    <col min="20" max="25" width="6.28515625" style="1" customWidth="1"/>
    <col min="26" max="256" width="9.140625" style="1"/>
    <col min="257" max="257" width="7" style="1" customWidth="1"/>
    <col min="258" max="258" width="15.28515625" style="1" customWidth="1"/>
    <col min="259" max="259" width="50.85546875" style="1" customWidth="1"/>
    <col min="260" max="260" width="7" style="1" customWidth="1"/>
    <col min="261" max="261" width="9.140625" style="1"/>
    <col min="262" max="265" width="13.42578125" style="1" customWidth="1"/>
    <col min="266" max="266" width="17.42578125" style="1" customWidth="1"/>
    <col min="267" max="267" width="16.42578125" style="1" customWidth="1"/>
    <col min="268" max="512" width="9.140625" style="1"/>
    <col min="513" max="513" width="7" style="1" customWidth="1"/>
    <col min="514" max="514" width="15.28515625" style="1" customWidth="1"/>
    <col min="515" max="515" width="50.85546875" style="1" customWidth="1"/>
    <col min="516" max="516" width="7" style="1" customWidth="1"/>
    <col min="517" max="517" width="9.140625" style="1"/>
    <col min="518" max="521" width="13.42578125" style="1" customWidth="1"/>
    <col min="522" max="522" width="17.42578125" style="1" customWidth="1"/>
    <col min="523" max="523" width="16.42578125" style="1" customWidth="1"/>
    <col min="524" max="768" width="9.140625" style="1"/>
    <col min="769" max="769" width="7" style="1" customWidth="1"/>
    <col min="770" max="770" width="15.28515625" style="1" customWidth="1"/>
    <col min="771" max="771" width="50.85546875" style="1" customWidth="1"/>
    <col min="772" max="772" width="7" style="1" customWidth="1"/>
    <col min="773" max="773" width="9.140625" style="1"/>
    <col min="774" max="777" width="13.42578125" style="1" customWidth="1"/>
    <col min="778" max="778" width="17.42578125" style="1" customWidth="1"/>
    <col min="779" max="779" width="16.42578125" style="1" customWidth="1"/>
    <col min="780" max="1024" width="9.140625" style="1"/>
    <col min="1025" max="1025" width="7" style="1" customWidth="1"/>
    <col min="1026" max="1026" width="15.28515625" style="1" customWidth="1"/>
    <col min="1027" max="1027" width="50.85546875" style="1" customWidth="1"/>
    <col min="1028" max="1028" width="7" style="1" customWidth="1"/>
    <col min="1029" max="1029" width="9.140625" style="1"/>
    <col min="1030" max="1033" width="13.42578125" style="1" customWidth="1"/>
    <col min="1034" max="1034" width="17.42578125" style="1" customWidth="1"/>
    <col min="1035" max="1035" width="16.42578125" style="1" customWidth="1"/>
    <col min="1036" max="1280" width="9.140625" style="1"/>
    <col min="1281" max="1281" width="7" style="1" customWidth="1"/>
    <col min="1282" max="1282" width="15.28515625" style="1" customWidth="1"/>
    <col min="1283" max="1283" width="50.85546875" style="1" customWidth="1"/>
    <col min="1284" max="1284" width="7" style="1" customWidth="1"/>
    <col min="1285" max="1285" width="9.140625" style="1"/>
    <col min="1286" max="1289" width="13.42578125" style="1" customWidth="1"/>
    <col min="1290" max="1290" width="17.42578125" style="1" customWidth="1"/>
    <col min="1291" max="1291" width="16.42578125" style="1" customWidth="1"/>
    <col min="1292" max="1536" width="9.140625" style="1"/>
    <col min="1537" max="1537" width="7" style="1" customWidth="1"/>
    <col min="1538" max="1538" width="15.28515625" style="1" customWidth="1"/>
    <col min="1539" max="1539" width="50.85546875" style="1" customWidth="1"/>
    <col min="1540" max="1540" width="7" style="1" customWidth="1"/>
    <col min="1541" max="1541" width="9.140625" style="1"/>
    <col min="1542" max="1545" width="13.42578125" style="1" customWidth="1"/>
    <col min="1546" max="1546" width="17.42578125" style="1" customWidth="1"/>
    <col min="1547" max="1547" width="16.42578125" style="1" customWidth="1"/>
    <col min="1548" max="1792" width="9.140625" style="1"/>
    <col min="1793" max="1793" width="7" style="1" customWidth="1"/>
    <col min="1794" max="1794" width="15.28515625" style="1" customWidth="1"/>
    <col min="1795" max="1795" width="50.85546875" style="1" customWidth="1"/>
    <col min="1796" max="1796" width="7" style="1" customWidth="1"/>
    <col min="1797" max="1797" width="9.140625" style="1"/>
    <col min="1798" max="1801" width="13.42578125" style="1" customWidth="1"/>
    <col min="1802" max="1802" width="17.42578125" style="1" customWidth="1"/>
    <col min="1803" max="1803" width="16.42578125" style="1" customWidth="1"/>
    <col min="1804" max="2048" width="9.140625" style="1"/>
    <col min="2049" max="2049" width="7" style="1" customWidth="1"/>
    <col min="2050" max="2050" width="15.28515625" style="1" customWidth="1"/>
    <col min="2051" max="2051" width="50.85546875" style="1" customWidth="1"/>
    <col min="2052" max="2052" width="7" style="1" customWidth="1"/>
    <col min="2053" max="2053" width="9.140625" style="1"/>
    <col min="2054" max="2057" width="13.42578125" style="1" customWidth="1"/>
    <col min="2058" max="2058" width="17.42578125" style="1" customWidth="1"/>
    <col min="2059" max="2059" width="16.42578125" style="1" customWidth="1"/>
    <col min="2060" max="2304" width="9.140625" style="1"/>
    <col min="2305" max="2305" width="7" style="1" customWidth="1"/>
    <col min="2306" max="2306" width="15.28515625" style="1" customWidth="1"/>
    <col min="2307" max="2307" width="50.85546875" style="1" customWidth="1"/>
    <col min="2308" max="2308" width="7" style="1" customWidth="1"/>
    <col min="2309" max="2309" width="9.140625" style="1"/>
    <col min="2310" max="2313" width="13.42578125" style="1" customWidth="1"/>
    <col min="2314" max="2314" width="17.42578125" style="1" customWidth="1"/>
    <col min="2315" max="2315" width="16.42578125" style="1" customWidth="1"/>
    <col min="2316" max="2560" width="9.140625" style="1"/>
    <col min="2561" max="2561" width="7" style="1" customWidth="1"/>
    <col min="2562" max="2562" width="15.28515625" style="1" customWidth="1"/>
    <col min="2563" max="2563" width="50.85546875" style="1" customWidth="1"/>
    <col min="2564" max="2564" width="7" style="1" customWidth="1"/>
    <col min="2565" max="2565" width="9.140625" style="1"/>
    <col min="2566" max="2569" width="13.42578125" style="1" customWidth="1"/>
    <col min="2570" max="2570" width="17.42578125" style="1" customWidth="1"/>
    <col min="2571" max="2571" width="16.42578125" style="1" customWidth="1"/>
    <col min="2572" max="2816" width="9.140625" style="1"/>
    <col min="2817" max="2817" width="7" style="1" customWidth="1"/>
    <col min="2818" max="2818" width="15.28515625" style="1" customWidth="1"/>
    <col min="2819" max="2819" width="50.85546875" style="1" customWidth="1"/>
    <col min="2820" max="2820" width="7" style="1" customWidth="1"/>
    <col min="2821" max="2821" width="9.140625" style="1"/>
    <col min="2822" max="2825" width="13.42578125" style="1" customWidth="1"/>
    <col min="2826" max="2826" width="17.42578125" style="1" customWidth="1"/>
    <col min="2827" max="2827" width="16.42578125" style="1" customWidth="1"/>
    <col min="2828" max="3072" width="9.140625" style="1"/>
    <col min="3073" max="3073" width="7" style="1" customWidth="1"/>
    <col min="3074" max="3074" width="15.28515625" style="1" customWidth="1"/>
    <col min="3075" max="3075" width="50.85546875" style="1" customWidth="1"/>
    <col min="3076" max="3076" width="7" style="1" customWidth="1"/>
    <col min="3077" max="3077" width="9.140625" style="1"/>
    <col min="3078" max="3081" width="13.42578125" style="1" customWidth="1"/>
    <col min="3082" max="3082" width="17.42578125" style="1" customWidth="1"/>
    <col min="3083" max="3083" width="16.42578125" style="1" customWidth="1"/>
    <col min="3084" max="3328" width="9.140625" style="1"/>
    <col min="3329" max="3329" width="7" style="1" customWidth="1"/>
    <col min="3330" max="3330" width="15.28515625" style="1" customWidth="1"/>
    <col min="3331" max="3331" width="50.85546875" style="1" customWidth="1"/>
    <col min="3332" max="3332" width="7" style="1" customWidth="1"/>
    <col min="3333" max="3333" width="9.140625" style="1"/>
    <col min="3334" max="3337" width="13.42578125" style="1" customWidth="1"/>
    <col min="3338" max="3338" width="17.42578125" style="1" customWidth="1"/>
    <col min="3339" max="3339" width="16.42578125" style="1" customWidth="1"/>
    <col min="3340" max="3584" width="9.140625" style="1"/>
    <col min="3585" max="3585" width="7" style="1" customWidth="1"/>
    <col min="3586" max="3586" width="15.28515625" style="1" customWidth="1"/>
    <col min="3587" max="3587" width="50.85546875" style="1" customWidth="1"/>
    <col min="3588" max="3588" width="7" style="1" customWidth="1"/>
    <col min="3589" max="3589" width="9.140625" style="1"/>
    <col min="3590" max="3593" width="13.42578125" style="1" customWidth="1"/>
    <col min="3594" max="3594" width="17.42578125" style="1" customWidth="1"/>
    <col min="3595" max="3595" width="16.42578125" style="1" customWidth="1"/>
    <col min="3596" max="3840" width="9.140625" style="1"/>
    <col min="3841" max="3841" width="7" style="1" customWidth="1"/>
    <col min="3842" max="3842" width="15.28515625" style="1" customWidth="1"/>
    <col min="3843" max="3843" width="50.85546875" style="1" customWidth="1"/>
    <col min="3844" max="3844" width="7" style="1" customWidth="1"/>
    <col min="3845" max="3845" width="9.140625" style="1"/>
    <col min="3846" max="3849" width="13.42578125" style="1" customWidth="1"/>
    <col min="3850" max="3850" width="17.42578125" style="1" customWidth="1"/>
    <col min="3851" max="3851" width="16.42578125" style="1" customWidth="1"/>
    <col min="3852" max="4096" width="9.140625" style="1"/>
    <col min="4097" max="4097" width="7" style="1" customWidth="1"/>
    <col min="4098" max="4098" width="15.28515625" style="1" customWidth="1"/>
    <col min="4099" max="4099" width="50.85546875" style="1" customWidth="1"/>
    <col min="4100" max="4100" width="7" style="1" customWidth="1"/>
    <col min="4101" max="4101" width="9.140625" style="1"/>
    <col min="4102" max="4105" width="13.42578125" style="1" customWidth="1"/>
    <col min="4106" max="4106" width="17.42578125" style="1" customWidth="1"/>
    <col min="4107" max="4107" width="16.42578125" style="1" customWidth="1"/>
    <col min="4108" max="4352" width="9.140625" style="1"/>
    <col min="4353" max="4353" width="7" style="1" customWidth="1"/>
    <col min="4354" max="4354" width="15.28515625" style="1" customWidth="1"/>
    <col min="4355" max="4355" width="50.85546875" style="1" customWidth="1"/>
    <col min="4356" max="4356" width="7" style="1" customWidth="1"/>
    <col min="4357" max="4357" width="9.140625" style="1"/>
    <col min="4358" max="4361" width="13.42578125" style="1" customWidth="1"/>
    <col min="4362" max="4362" width="17.42578125" style="1" customWidth="1"/>
    <col min="4363" max="4363" width="16.42578125" style="1" customWidth="1"/>
    <col min="4364" max="4608" width="9.140625" style="1"/>
    <col min="4609" max="4609" width="7" style="1" customWidth="1"/>
    <col min="4610" max="4610" width="15.28515625" style="1" customWidth="1"/>
    <col min="4611" max="4611" width="50.85546875" style="1" customWidth="1"/>
    <col min="4612" max="4612" width="7" style="1" customWidth="1"/>
    <col min="4613" max="4613" width="9.140625" style="1"/>
    <col min="4614" max="4617" width="13.42578125" style="1" customWidth="1"/>
    <col min="4618" max="4618" width="17.42578125" style="1" customWidth="1"/>
    <col min="4619" max="4619" width="16.42578125" style="1" customWidth="1"/>
    <col min="4620" max="4864" width="9.140625" style="1"/>
    <col min="4865" max="4865" width="7" style="1" customWidth="1"/>
    <col min="4866" max="4866" width="15.28515625" style="1" customWidth="1"/>
    <col min="4867" max="4867" width="50.85546875" style="1" customWidth="1"/>
    <col min="4868" max="4868" width="7" style="1" customWidth="1"/>
    <col min="4869" max="4869" width="9.140625" style="1"/>
    <col min="4870" max="4873" width="13.42578125" style="1" customWidth="1"/>
    <col min="4874" max="4874" width="17.42578125" style="1" customWidth="1"/>
    <col min="4875" max="4875" width="16.42578125" style="1" customWidth="1"/>
    <col min="4876" max="5120" width="9.140625" style="1"/>
    <col min="5121" max="5121" width="7" style="1" customWidth="1"/>
    <col min="5122" max="5122" width="15.28515625" style="1" customWidth="1"/>
    <col min="5123" max="5123" width="50.85546875" style="1" customWidth="1"/>
    <col min="5124" max="5124" width="7" style="1" customWidth="1"/>
    <col min="5125" max="5125" width="9.140625" style="1"/>
    <col min="5126" max="5129" width="13.42578125" style="1" customWidth="1"/>
    <col min="5130" max="5130" width="17.42578125" style="1" customWidth="1"/>
    <col min="5131" max="5131" width="16.42578125" style="1" customWidth="1"/>
    <col min="5132" max="5376" width="9.140625" style="1"/>
    <col min="5377" max="5377" width="7" style="1" customWidth="1"/>
    <col min="5378" max="5378" width="15.28515625" style="1" customWidth="1"/>
    <col min="5379" max="5379" width="50.85546875" style="1" customWidth="1"/>
    <col min="5380" max="5380" width="7" style="1" customWidth="1"/>
    <col min="5381" max="5381" width="9.140625" style="1"/>
    <col min="5382" max="5385" width="13.42578125" style="1" customWidth="1"/>
    <col min="5386" max="5386" width="17.42578125" style="1" customWidth="1"/>
    <col min="5387" max="5387" width="16.42578125" style="1" customWidth="1"/>
    <col min="5388" max="5632" width="9.140625" style="1"/>
    <col min="5633" max="5633" width="7" style="1" customWidth="1"/>
    <col min="5634" max="5634" width="15.28515625" style="1" customWidth="1"/>
    <col min="5635" max="5635" width="50.85546875" style="1" customWidth="1"/>
    <col min="5636" max="5636" width="7" style="1" customWidth="1"/>
    <col min="5637" max="5637" width="9.140625" style="1"/>
    <col min="5638" max="5641" width="13.42578125" style="1" customWidth="1"/>
    <col min="5642" max="5642" width="17.42578125" style="1" customWidth="1"/>
    <col min="5643" max="5643" width="16.42578125" style="1" customWidth="1"/>
    <col min="5644" max="5888" width="9.140625" style="1"/>
    <col min="5889" max="5889" width="7" style="1" customWidth="1"/>
    <col min="5890" max="5890" width="15.28515625" style="1" customWidth="1"/>
    <col min="5891" max="5891" width="50.85546875" style="1" customWidth="1"/>
    <col min="5892" max="5892" width="7" style="1" customWidth="1"/>
    <col min="5893" max="5893" width="9.140625" style="1"/>
    <col min="5894" max="5897" width="13.42578125" style="1" customWidth="1"/>
    <col min="5898" max="5898" width="17.42578125" style="1" customWidth="1"/>
    <col min="5899" max="5899" width="16.42578125" style="1" customWidth="1"/>
    <col min="5900" max="6144" width="9.140625" style="1"/>
    <col min="6145" max="6145" width="7" style="1" customWidth="1"/>
    <col min="6146" max="6146" width="15.28515625" style="1" customWidth="1"/>
    <col min="6147" max="6147" width="50.85546875" style="1" customWidth="1"/>
    <col min="6148" max="6148" width="7" style="1" customWidth="1"/>
    <col min="6149" max="6149" width="9.140625" style="1"/>
    <col min="6150" max="6153" width="13.42578125" style="1" customWidth="1"/>
    <col min="6154" max="6154" width="17.42578125" style="1" customWidth="1"/>
    <col min="6155" max="6155" width="16.42578125" style="1" customWidth="1"/>
    <col min="6156" max="6400" width="9.140625" style="1"/>
    <col min="6401" max="6401" width="7" style="1" customWidth="1"/>
    <col min="6402" max="6402" width="15.28515625" style="1" customWidth="1"/>
    <col min="6403" max="6403" width="50.85546875" style="1" customWidth="1"/>
    <col min="6404" max="6404" width="7" style="1" customWidth="1"/>
    <col min="6405" max="6405" width="9.140625" style="1"/>
    <col min="6406" max="6409" width="13.42578125" style="1" customWidth="1"/>
    <col min="6410" max="6410" width="17.42578125" style="1" customWidth="1"/>
    <col min="6411" max="6411" width="16.42578125" style="1" customWidth="1"/>
    <col min="6412" max="6656" width="9.140625" style="1"/>
    <col min="6657" max="6657" width="7" style="1" customWidth="1"/>
    <col min="6658" max="6658" width="15.28515625" style="1" customWidth="1"/>
    <col min="6659" max="6659" width="50.85546875" style="1" customWidth="1"/>
    <col min="6660" max="6660" width="7" style="1" customWidth="1"/>
    <col min="6661" max="6661" width="9.140625" style="1"/>
    <col min="6662" max="6665" width="13.42578125" style="1" customWidth="1"/>
    <col min="6666" max="6666" width="17.42578125" style="1" customWidth="1"/>
    <col min="6667" max="6667" width="16.42578125" style="1" customWidth="1"/>
    <col min="6668" max="6912" width="9.140625" style="1"/>
    <col min="6913" max="6913" width="7" style="1" customWidth="1"/>
    <col min="6914" max="6914" width="15.28515625" style="1" customWidth="1"/>
    <col min="6915" max="6915" width="50.85546875" style="1" customWidth="1"/>
    <col min="6916" max="6916" width="7" style="1" customWidth="1"/>
    <col min="6917" max="6917" width="9.140625" style="1"/>
    <col min="6918" max="6921" width="13.42578125" style="1" customWidth="1"/>
    <col min="6922" max="6922" width="17.42578125" style="1" customWidth="1"/>
    <col min="6923" max="6923" width="16.42578125" style="1" customWidth="1"/>
    <col min="6924" max="7168" width="9.140625" style="1"/>
    <col min="7169" max="7169" width="7" style="1" customWidth="1"/>
    <col min="7170" max="7170" width="15.28515625" style="1" customWidth="1"/>
    <col min="7171" max="7171" width="50.85546875" style="1" customWidth="1"/>
    <col min="7172" max="7172" width="7" style="1" customWidth="1"/>
    <col min="7173" max="7173" width="9.140625" style="1"/>
    <col min="7174" max="7177" width="13.42578125" style="1" customWidth="1"/>
    <col min="7178" max="7178" width="17.42578125" style="1" customWidth="1"/>
    <col min="7179" max="7179" width="16.42578125" style="1" customWidth="1"/>
    <col min="7180" max="7424" width="9.140625" style="1"/>
    <col min="7425" max="7425" width="7" style="1" customWidth="1"/>
    <col min="7426" max="7426" width="15.28515625" style="1" customWidth="1"/>
    <col min="7427" max="7427" width="50.85546875" style="1" customWidth="1"/>
    <col min="7428" max="7428" width="7" style="1" customWidth="1"/>
    <col min="7429" max="7429" width="9.140625" style="1"/>
    <col min="7430" max="7433" width="13.42578125" style="1" customWidth="1"/>
    <col min="7434" max="7434" width="17.42578125" style="1" customWidth="1"/>
    <col min="7435" max="7435" width="16.42578125" style="1" customWidth="1"/>
    <col min="7436" max="7680" width="9.140625" style="1"/>
    <col min="7681" max="7681" width="7" style="1" customWidth="1"/>
    <col min="7682" max="7682" width="15.28515625" style="1" customWidth="1"/>
    <col min="7683" max="7683" width="50.85546875" style="1" customWidth="1"/>
    <col min="7684" max="7684" width="7" style="1" customWidth="1"/>
    <col min="7685" max="7685" width="9.140625" style="1"/>
    <col min="7686" max="7689" width="13.42578125" style="1" customWidth="1"/>
    <col min="7690" max="7690" width="17.42578125" style="1" customWidth="1"/>
    <col min="7691" max="7691" width="16.42578125" style="1" customWidth="1"/>
    <col min="7692" max="7936" width="9.140625" style="1"/>
    <col min="7937" max="7937" width="7" style="1" customWidth="1"/>
    <col min="7938" max="7938" width="15.28515625" style="1" customWidth="1"/>
    <col min="7939" max="7939" width="50.85546875" style="1" customWidth="1"/>
    <col min="7940" max="7940" width="7" style="1" customWidth="1"/>
    <col min="7941" max="7941" width="9.140625" style="1"/>
    <col min="7942" max="7945" width="13.42578125" style="1" customWidth="1"/>
    <col min="7946" max="7946" width="17.42578125" style="1" customWidth="1"/>
    <col min="7947" max="7947" width="16.42578125" style="1" customWidth="1"/>
    <col min="7948" max="8192" width="9.140625" style="1"/>
    <col min="8193" max="8193" width="7" style="1" customWidth="1"/>
    <col min="8194" max="8194" width="15.28515625" style="1" customWidth="1"/>
    <col min="8195" max="8195" width="50.85546875" style="1" customWidth="1"/>
    <col min="8196" max="8196" width="7" style="1" customWidth="1"/>
    <col min="8197" max="8197" width="9.140625" style="1"/>
    <col min="8198" max="8201" width="13.42578125" style="1" customWidth="1"/>
    <col min="8202" max="8202" width="17.42578125" style="1" customWidth="1"/>
    <col min="8203" max="8203" width="16.42578125" style="1" customWidth="1"/>
    <col min="8204" max="8448" width="9.140625" style="1"/>
    <col min="8449" max="8449" width="7" style="1" customWidth="1"/>
    <col min="8450" max="8450" width="15.28515625" style="1" customWidth="1"/>
    <col min="8451" max="8451" width="50.85546875" style="1" customWidth="1"/>
    <col min="8452" max="8452" width="7" style="1" customWidth="1"/>
    <col min="8453" max="8453" width="9.140625" style="1"/>
    <col min="8454" max="8457" width="13.42578125" style="1" customWidth="1"/>
    <col min="8458" max="8458" width="17.42578125" style="1" customWidth="1"/>
    <col min="8459" max="8459" width="16.42578125" style="1" customWidth="1"/>
    <col min="8460" max="8704" width="9.140625" style="1"/>
    <col min="8705" max="8705" width="7" style="1" customWidth="1"/>
    <col min="8706" max="8706" width="15.28515625" style="1" customWidth="1"/>
    <col min="8707" max="8707" width="50.85546875" style="1" customWidth="1"/>
    <col min="8708" max="8708" width="7" style="1" customWidth="1"/>
    <col min="8709" max="8709" width="9.140625" style="1"/>
    <col min="8710" max="8713" width="13.42578125" style="1" customWidth="1"/>
    <col min="8714" max="8714" width="17.42578125" style="1" customWidth="1"/>
    <col min="8715" max="8715" width="16.42578125" style="1" customWidth="1"/>
    <col min="8716" max="8960" width="9.140625" style="1"/>
    <col min="8961" max="8961" width="7" style="1" customWidth="1"/>
    <col min="8962" max="8962" width="15.28515625" style="1" customWidth="1"/>
    <col min="8963" max="8963" width="50.85546875" style="1" customWidth="1"/>
    <col min="8964" max="8964" width="7" style="1" customWidth="1"/>
    <col min="8965" max="8965" width="9.140625" style="1"/>
    <col min="8966" max="8969" width="13.42578125" style="1" customWidth="1"/>
    <col min="8970" max="8970" width="17.42578125" style="1" customWidth="1"/>
    <col min="8971" max="8971" width="16.42578125" style="1" customWidth="1"/>
    <col min="8972" max="9216" width="9.140625" style="1"/>
    <col min="9217" max="9217" width="7" style="1" customWidth="1"/>
    <col min="9218" max="9218" width="15.28515625" style="1" customWidth="1"/>
    <col min="9219" max="9219" width="50.85546875" style="1" customWidth="1"/>
    <col min="9220" max="9220" width="7" style="1" customWidth="1"/>
    <col min="9221" max="9221" width="9.140625" style="1"/>
    <col min="9222" max="9225" width="13.42578125" style="1" customWidth="1"/>
    <col min="9226" max="9226" width="17.42578125" style="1" customWidth="1"/>
    <col min="9227" max="9227" width="16.42578125" style="1" customWidth="1"/>
    <col min="9228" max="9472" width="9.140625" style="1"/>
    <col min="9473" max="9473" width="7" style="1" customWidth="1"/>
    <col min="9474" max="9474" width="15.28515625" style="1" customWidth="1"/>
    <col min="9475" max="9475" width="50.85546875" style="1" customWidth="1"/>
    <col min="9476" max="9476" width="7" style="1" customWidth="1"/>
    <col min="9477" max="9477" width="9.140625" style="1"/>
    <col min="9478" max="9481" width="13.42578125" style="1" customWidth="1"/>
    <col min="9482" max="9482" width="17.42578125" style="1" customWidth="1"/>
    <col min="9483" max="9483" width="16.42578125" style="1" customWidth="1"/>
    <col min="9484" max="9728" width="9.140625" style="1"/>
    <col min="9729" max="9729" width="7" style="1" customWidth="1"/>
    <col min="9730" max="9730" width="15.28515625" style="1" customWidth="1"/>
    <col min="9731" max="9731" width="50.85546875" style="1" customWidth="1"/>
    <col min="9732" max="9732" width="7" style="1" customWidth="1"/>
    <col min="9733" max="9733" width="9.140625" style="1"/>
    <col min="9734" max="9737" width="13.42578125" style="1" customWidth="1"/>
    <col min="9738" max="9738" width="17.42578125" style="1" customWidth="1"/>
    <col min="9739" max="9739" width="16.42578125" style="1" customWidth="1"/>
    <col min="9740" max="9984" width="9.140625" style="1"/>
    <col min="9985" max="9985" width="7" style="1" customWidth="1"/>
    <col min="9986" max="9986" width="15.28515625" style="1" customWidth="1"/>
    <col min="9987" max="9987" width="50.85546875" style="1" customWidth="1"/>
    <col min="9988" max="9988" width="7" style="1" customWidth="1"/>
    <col min="9989" max="9989" width="9.140625" style="1"/>
    <col min="9990" max="9993" width="13.42578125" style="1" customWidth="1"/>
    <col min="9994" max="9994" width="17.42578125" style="1" customWidth="1"/>
    <col min="9995" max="9995" width="16.42578125" style="1" customWidth="1"/>
    <col min="9996" max="10240" width="9.140625" style="1"/>
    <col min="10241" max="10241" width="7" style="1" customWidth="1"/>
    <col min="10242" max="10242" width="15.28515625" style="1" customWidth="1"/>
    <col min="10243" max="10243" width="50.85546875" style="1" customWidth="1"/>
    <col min="10244" max="10244" width="7" style="1" customWidth="1"/>
    <col min="10245" max="10245" width="9.140625" style="1"/>
    <col min="10246" max="10249" width="13.42578125" style="1" customWidth="1"/>
    <col min="10250" max="10250" width="17.42578125" style="1" customWidth="1"/>
    <col min="10251" max="10251" width="16.42578125" style="1" customWidth="1"/>
    <col min="10252" max="10496" width="9.140625" style="1"/>
    <col min="10497" max="10497" width="7" style="1" customWidth="1"/>
    <col min="10498" max="10498" width="15.28515625" style="1" customWidth="1"/>
    <col min="10499" max="10499" width="50.85546875" style="1" customWidth="1"/>
    <col min="10500" max="10500" width="7" style="1" customWidth="1"/>
    <col min="10501" max="10501" width="9.140625" style="1"/>
    <col min="10502" max="10505" width="13.42578125" style="1" customWidth="1"/>
    <col min="10506" max="10506" width="17.42578125" style="1" customWidth="1"/>
    <col min="10507" max="10507" width="16.42578125" style="1" customWidth="1"/>
    <col min="10508" max="10752" width="9.140625" style="1"/>
    <col min="10753" max="10753" width="7" style="1" customWidth="1"/>
    <col min="10754" max="10754" width="15.28515625" style="1" customWidth="1"/>
    <col min="10755" max="10755" width="50.85546875" style="1" customWidth="1"/>
    <col min="10756" max="10756" width="7" style="1" customWidth="1"/>
    <col min="10757" max="10757" width="9.140625" style="1"/>
    <col min="10758" max="10761" width="13.42578125" style="1" customWidth="1"/>
    <col min="10762" max="10762" width="17.42578125" style="1" customWidth="1"/>
    <col min="10763" max="10763" width="16.42578125" style="1" customWidth="1"/>
    <col min="10764" max="11008" width="9.140625" style="1"/>
    <col min="11009" max="11009" width="7" style="1" customWidth="1"/>
    <col min="11010" max="11010" width="15.28515625" style="1" customWidth="1"/>
    <col min="11011" max="11011" width="50.85546875" style="1" customWidth="1"/>
    <col min="11012" max="11012" width="7" style="1" customWidth="1"/>
    <col min="11013" max="11013" width="9.140625" style="1"/>
    <col min="11014" max="11017" width="13.42578125" style="1" customWidth="1"/>
    <col min="11018" max="11018" width="17.42578125" style="1" customWidth="1"/>
    <col min="11019" max="11019" width="16.42578125" style="1" customWidth="1"/>
    <col min="11020" max="11264" width="9.140625" style="1"/>
    <col min="11265" max="11265" width="7" style="1" customWidth="1"/>
    <col min="11266" max="11266" width="15.28515625" style="1" customWidth="1"/>
    <col min="11267" max="11267" width="50.85546875" style="1" customWidth="1"/>
    <col min="11268" max="11268" width="7" style="1" customWidth="1"/>
    <col min="11269" max="11269" width="9.140625" style="1"/>
    <col min="11270" max="11273" width="13.42578125" style="1" customWidth="1"/>
    <col min="11274" max="11274" width="17.42578125" style="1" customWidth="1"/>
    <col min="11275" max="11275" width="16.42578125" style="1" customWidth="1"/>
    <col min="11276" max="11520" width="9.140625" style="1"/>
    <col min="11521" max="11521" width="7" style="1" customWidth="1"/>
    <col min="11522" max="11522" width="15.28515625" style="1" customWidth="1"/>
    <col min="11523" max="11523" width="50.85546875" style="1" customWidth="1"/>
    <col min="11524" max="11524" width="7" style="1" customWidth="1"/>
    <col min="11525" max="11525" width="9.140625" style="1"/>
    <col min="11526" max="11529" width="13.42578125" style="1" customWidth="1"/>
    <col min="11530" max="11530" width="17.42578125" style="1" customWidth="1"/>
    <col min="11531" max="11531" width="16.42578125" style="1" customWidth="1"/>
    <col min="11532" max="11776" width="9.140625" style="1"/>
    <col min="11777" max="11777" width="7" style="1" customWidth="1"/>
    <col min="11778" max="11778" width="15.28515625" style="1" customWidth="1"/>
    <col min="11779" max="11779" width="50.85546875" style="1" customWidth="1"/>
    <col min="11780" max="11780" width="7" style="1" customWidth="1"/>
    <col min="11781" max="11781" width="9.140625" style="1"/>
    <col min="11782" max="11785" width="13.42578125" style="1" customWidth="1"/>
    <col min="11786" max="11786" width="17.42578125" style="1" customWidth="1"/>
    <col min="11787" max="11787" width="16.42578125" style="1" customWidth="1"/>
    <col min="11788" max="12032" width="9.140625" style="1"/>
    <col min="12033" max="12033" width="7" style="1" customWidth="1"/>
    <col min="12034" max="12034" width="15.28515625" style="1" customWidth="1"/>
    <col min="12035" max="12035" width="50.85546875" style="1" customWidth="1"/>
    <col min="12036" max="12036" width="7" style="1" customWidth="1"/>
    <col min="12037" max="12037" width="9.140625" style="1"/>
    <col min="12038" max="12041" width="13.42578125" style="1" customWidth="1"/>
    <col min="12042" max="12042" width="17.42578125" style="1" customWidth="1"/>
    <col min="12043" max="12043" width="16.42578125" style="1" customWidth="1"/>
    <col min="12044" max="12288" width="9.140625" style="1"/>
    <col min="12289" max="12289" width="7" style="1" customWidth="1"/>
    <col min="12290" max="12290" width="15.28515625" style="1" customWidth="1"/>
    <col min="12291" max="12291" width="50.85546875" style="1" customWidth="1"/>
    <col min="12292" max="12292" width="7" style="1" customWidth="1"/>
    <col min="12293" max="12293" width="9.140625" style="1"/>
    <col min="12294" max="12297" width="13.42578125" style="1" customWidth="1"/>
    <col min="12298" max="12298" width="17.42578125" style="1" customWidth="1"/>
    <col min="12299" max="12299" width="16.42578125" style="1" customWidth="1"/>
    <col min="12300" max="12544" width="9.140625" style="1"/>
    <col min="12545" max="12545" width="7" style="1" customWidth="1"/>
    <col min="12546" max="12546" width="15.28515625" style="1" customWidth="1"/>
    <col min="12547" max="12547" width="50.85546875" style="1" customWidth="1"/>
    <col min="12548" max="12548" width="7" style="1" customWidth="1"/>
    <col min="12549" max="12549" width="9.140625" style="1"/>
    <col min="12550" max="12553" width="13.42578125" style="1" customWidth="1"/>
    <col min="12554" max="12554" width="17.42578125" style="1" customWidth="1"/>
    <col min="12555" max="12555" width="16.42578125" style="1" customWidth="1"/>
    <col min="12556" max="12800" width="9.140625" style="1"/>
    <col min="12801" max="12801" width="7" style="1" customWidth="1"/>
    <col min="12802" max="12802" width="15.28515625" style="1" customWidth="1"/>
    <col min="12803" max="12803" width="50.85546875" style="1" customWidth="1"/>
    <col min="12804" max="12804" width="7" style="1" customWidth="1"/>
    <col min="12805" max="12805" width="9.140625" style="1"/>
    <col min="12806" max="12809" width="13.42578125" style="1" customWidth="1"/>
    <col min="12810" max="12810" width="17.42578125" style="1" customWidth="1"/>
    <col min="12811" max="12811" width="16.42578125" style="1" customWidth="1"/>
    <col min="12812" max="13056" width="9.140625" style="1"/>
    <col min="13057" max="13057" width="7" style="1" customWidth="1"/>
    <col min="13058" max="13058" width="15.28515625" style="1" customWidth="1"/>
    <col min="13059" max="13059" width="50.85546875" style="1" customWidth="1"/>
    <col min="13060" max="13060" width="7" style="1" customWidth="1"/>
    <col min="13061" max="13061" width="9.140625" style="1"/>
    <col min="13062" max="13065" width="13.42578125" style="1" customWidth="1"/>
    <col min="13066" max="13066" width="17.42578125" style="1" customWidth="1"/>
    <col min="13067" max="13067" width="16.42578125" style="1" customWidth="1"/>
    <col min="13068" max="13312" width="9.140625" style="1"/>
    <col min="13313" max="13313" width="7" style="1" customWidth="1"/>
    <col min="13314" max="13314" width="15.28515625" style="1" customWidth="1"/>
    <col min="13315" max="13315" width="50.85546875" style="1" customWidth="1"/>
    <col min="13316" max="13316" width="7" style="1" customWidth="1"/>
    <col min="13317" max="13317" width="9.140625" style="1"/>
    <col min="13318" max="13321" width="13.42578125" style="1" customWidth="1"/>
    <col min="13322" max="13322" width="17.42578125" style="1" customWidth="1"/>
    <col min="13323" max="13323" width="16.42578125" style="1" customWidth="1"/>
    <col min="13324" max="13568" width="9.140625" style="1"/>
    <col min="13569" max="13569" width="7" style="1" customWidth="1"/>
    <col min="13570" max="13570" width="15.28515625" style="1" customWidth="1"/>
    <col min="13571" max="13571" width="50.85546875" style="1" customWidth="1"/>
    <col min="13572" max="13572" width="7" style="1" customWidth="1"/>
    <col min="13573" max="13573" width="9.140625" style="1"/>
    <col min="13574" max="13577" width="13.42578125" style="1" customWidth="1"/>
    <col min="13578" max="13578" width="17.42578125" style="1" customWidth="1"/>
    <col min="13579" max="13579" width="16.42578125" style="1" customWidth="1"/>
    <col min="13580" max="13824" width="9.140625" style="1"/>
    <col min="13825" max="13825" width="7" style="1" customWidth="1"/>
    <col min="13826" max="13826" width="15.28515625" style="1" customWidth="1"/>
    <col min="13827" max="13827" width="50.85546875" style="1" customWidth="1"/>
    <col min="13828" max="13828" width="7" style="1" customWidth="1"/>
    <col min="13829" max="13829" width="9.140625" style="1"/>
    <col min="13830" max="13833" width="13.42578125" style="1" customWidth="1"/>
    <col min="13834" max="13834" width="17.42578125" style="1" customWidth="1"/>
    <col min="13835" max="13835" width="16.42578125" style="1" customWidth="1"/>
    <col min="13836" max="14080" width="9.140625" style="1"/>
    <col min="14081" max="14081" width="7" style="1" customWidth="1"/>
    <col min="14082" max="14082" width="15.28515625" style="1" customWidth="1"/>
    <col min="14083" max="14083" width="50.85546875" style="1" customWidth="1"/>
    <col min="14084" max="14084" width="7" style="1" customWidth="1"/>
    <col min="14085" max="14085" width="9.140625" style="1"/>
    <col min="14086" max="14089" width="13.42578125" style="1" customWidth="1"/>
    <col min="14090" max="14090" width="17.42578125" style="1" customWidth="1"/>
    <col min="14091" max="14091" width="16.42578125" style="1" customWidth="1"/>
    <col min="14092" max="14336" width="9.140625" style="1"/>
    <col min="14337" max="14337" width="7" style="1" customWidth="1"/>
    <col min="14338" max="14338" width="15.28515625" style="1" customWidth="1"/>
    <col min="14339" max="14339" width="50.85546875" style="1" customWidth="1"/>
    <col min="14340" max="14340" width="7" style="1" customWidth="1"/>
    <col min="14341" max="14341" width="9.140625" style="1"/>
    <col min="14342" max="14345" width="13.42578125" style="1" customWidth="1"/>
    <col min="14346" max="14346" width="17.42578125" style="1" customWidth="1"/>
    <col min="14347" max="14347" width="16.42578125" style="1" customWidth="1"/>
    <col min="14348" max="14592" width="9.140625" style="1"/>
    <col min="14593" max="14593" width="7" style="1" customWidth="1"/>
    <col min="14594" max="14594" width="15.28515625" style="1" customWidth="1"/>
    <col min="14595" max="14595" width="50.85546875" style="1" customWidth="1"/>
    <col min="14596" max="14596" width="7" style="1" customWidth="1"/>
    <col min="14597" max="14597" width="9.140625" style="1"/>
    <col min="14598" max="14601" width="13.42578125" style="1" customWidth="1"/>
    <col min="14602" max="14602" width="17.42578125" style="1" customWidth="1"/>
    <col min="14603" max="14603" width="16.42578125" style="1" customWidth="1"/>
    <col min="14604" max="14848" width="9.140625" style="1"/>
    <col min="14849" max="14849" width="7" style="1" customWidth="1"/>
    <col min="14850" max="14850" width="15.28515625" style="1" customWidth="1"/>
    <col min="14851" max="14851" width="50.85546875" style="1" customWidth="1"/>
    <col min="14852" max="14852" width="7" style="1" customWidth="1"/>
    <col min="14853" max="14853" width="9.140625" style="1"/>
    <col min="14854" max="14857" width="13.42578125" style="1" customWidth="1"/>
    <col min="14858" max="14858" width="17.42578125" style="1" customWidth="1"/>
    <col min="14859" max="14859" width="16.42578125" style="1" customWidth="1"/>
    <col min="14860" max="15104" width="9.140625" style="1"/>
    <col min="15105" max="15105" width="7" style="1" customWidth="1"/>
    <col min="15106" max="15106" width="15.28515625" style="1" customWidth="1"/>
    <col min="15107" max="15107" width="50.85546875" style="1" customWidth="1"/>
    <col min="15108" max="15108" width="7" style="1" customWidth="1"/>
    <col min="15109" max="15109" width="9.140625" style="1"/>
    <col min="15110" max="15113" width="13.42578125" style="1" customWidth="1"/>
    <col min="15114" max="15114" width="17.42578125" style="1" customWidth="1"/>
    <col min="15115" max="15115" width="16.42578125" style="1" customWidth="1"/>
    <col min="15116" max="15360" width="9.140625" style="1"/>
    <col min="15361" max="15361" width="7" style="1" customWidth="1"/>
    <col min="15362" max="15362" width="15.28515625" style="1" customWidth="1"/>
    <col min="15363" max="15363" width="50.85546875" style="1" customWidth="1"/>
    <col min="15364" max="15364" width="7" style="1" customWidth="1"/>
    <col min="15365" max="15365" width="9.140625" style="1"/>
    <col min="15366" max="15369" width="13.42578125" style="1" customWidth="1"/>
    <col min="15370" max="15370" width="17.42578125" style="1" customWidth="1"/>
    <col min="15371" max="15371" width="16.42578125" style="1" customWidth="1"/>
    <col min="15372" max="15616" width="9.140625" style="1"/>
    <col min="15617" max="15617" width="7" style="1" customWidth="1"/>
    <col min="15618" max="15618" width="15.28515625" style="1" customWidth="1"/>
    <col min="15619" max="15619" width="50.85546875" style="1" customWidth="1"/>
    <col min="15620" max="15620" width="7" style="1" customWidth="1"/>
    <col min="15621" max="15621" width="9.140625" style="1"/>
    <col min="15622" max="15625" width="13.42578125" style="1" customWidth="1"/>
    <col min="15626" max="15626" width="17.42578125" style="1" customWidth="1"/>
    <col min="15627" max="15627" width="16.42578125" style="1" customWidth="1"/>
    <col min="15628" max="15872" width="9.140625" style="1"/>
    <col min="15873" max="15873" width="7" style="1" customWidth="1"/>
    <col min="15874" max="15874" width="15.28515625" style="1" customWidth="1"/>
    <col min="15875" max="15875" width="50.85546875" style="1" customWidth="1"/>
    <col min="15876" max="15876" width="7" style="1" customWidth="1"/>
    <col min="15877" max="15877" width="9.140625" style="1"/>
    <col min="15878" max="15881" width="13.42578125" style="1" customWidth="1"/>
    <col min="15882" max="15882" width="17.42578125" style="1" customWidth="1"/>
    <col min="15883" max="15883" width="16.42578125" style="1" customWidth="1"/>
    <col min="15884" max="16128" width="9.140625" style="1"/>
    <col min="16129" max="16129" width="7" style="1" customWidth="1"/>
    <col min="16130" max="16130" width="15.28515625" style="1" customWidth="1"/>
    <col min="16131" max="16131" width="50.85546875" style="1" customWidth="1"/>
    <col min="16132" max="16132" width="7" style="1" customWidth="1"/>
    <col min="16133" max="16133" width="9.140625" style="1"/>
    <col min="16134" max="16137" width="13.42578125" style="1" customWidth="1"/>
    <col min="16138" max="16138" width="17.42578125" style="1" customWidth="1"/>
    <col min="16139" max="16139" width="16.42578125" style="1" customWidth="1"/>
    <col min="16140" max="16384" width="9.140625" style="1"/>
  </cols>
  <sheetData>
    <row r="1" spans="1:19" x14ac:dyDescent="0.25">
      <c r="G1" s="406" t="s">
        <v>0</v>
      </c>
      <c r="H1" s="406"/>
      <c r="I1" s="406"/>
    </row>
    <row r="2" spans="1:19" ht="15" customHeight="1" x14ac:dyDescent="0.25">
      <c r="A2" s="407"/>
      <c r="B2" s="407"/>
      <c r="D2" s="406"/>
      <c r="E2" s="406"/>
      <c r="F2" s="406"/>
      <c r="G2" s="406"/>
      <c r="H2" s="406"/>
      <c r="I2" s="406"/>
    </row>
    <row r="7" spans="1:19" ht="15" customHeight="1" x14ac:dyDescent="0.25">
      <c r="C7" s="405" t="s">
        <v>368</v>
      </c>
      <c r="D7" s="405"/>
      <c r="E7" s="405"/>
      <c r="F7" s="405"/>
      <c r="G7" s="405"/>
    </row>
    <row r="8" spans="1:19" ht="15" customHeight="1" x14ac:dyDescent="0.25">
      <c r="B8" s="405" t="s">
        <v>369</v>
      </c>
      <c r="C8" s="405"/>
      <c r="D8" s="405"/>
      <c r="E8" s="405"/>
      <c r="F8" s="405"/>
      <c r="G8" s="405"/>
      <c r="H8" s="405"/>
      <c r="I8" s="405"/>
    </row>
    <row r="9" spans="1:19" ht="8.25" customHeight="1" x14ac:dyDescent="0.25">
      <c r="B9" s="198"/>
      <c r="C9" s="360"/>
      <c r="D9" s="360"/>
      <c r="E9" s="360"/>
      <c r="F9" s="360"/>
      <c r="G9" s="360"/>
      <c r="H9" s="360"/>
      <c r="I9" s="360"/>
    </row>
    <row r="10" spans="1:19" ht="45.75" customHeight="1" x14ac:dyDescent="0.25">
      <c r="A10" s="403" t="s">
        <v>480</v>
      </c>
      <c r="B10" s="403"/>
      <c r="C10" s="403"/>
      <c r="D10" s="403"/>
      <c r="E10" s="403"/>
      <c r="F10" s="403"/>
      <c r="G10" s="403"/>
      <c r="H10" s="403"/>
      <c r="I10" s="403"/>
    </row>
    <row r="11" spans="1:19" ht="5.25" customHeight="1" x14ac:dyDescent="0.25">
      <c r="B11" s="405"/>
      <c r="C11" s="405"/>
      <c r="D11" s="405"/>
      <c r="E11" s="405"/>
      <c r="F11" s="405"/>
      <c r="G11" s="405"/>
      <c r="H11" s="405"/>
      <c r="I11" s="405"/>
    </row>
    <row r="12" spans="1:19" ht="15" customHeight="1" x14ac:dyDescent="0.25">
      <c r="A12" s="403" t="s">
        <v>881</v>
      </c>
      <c r="B12" s="403"/>
      <c r="C12" s="403"/>
    </row>
    <row r="13" spans="1:19" ht="3.75" customHeight="1" thickBot="1" x14ac:dyDescent="0.3"/>
    <row r="14" spans="1:19" s="361" customFormat="1" ht="27.75" customHeight="1" thickBot="1" x14ac:dyDescent="0.3">
      <c r="A14" s="404" t="s">
        <v>1</v>
      </c>
      <c r="B14" s="408" t="s">
        <v>370</v>
      </c>
      <c r="C14" s="404" t="s">
        <v>2</v>
      </c>
      <c r="D14" s="404" t="s">
        <v>3</v>
      </c>
      <c r="E14" s="402" t="s">
        <v>4</v>
      </c>
      <c r="F14" s="402" t="s">
        <v>5</v>
      </c>
      <c r="G14" s="402"/>
      <c r="H14" s="402" t="s">
        <v>6</v>
      </c>
      <c r="I14" s="402"/>
      <c r="J14" s="2"/>
      <c r="K14" s="2" t="s">
        <v>54</v>
      </c>
      <c r="L14" s="2" t="s">
        <v>481</v>
      </c>
      <c r="M14" s="2" t="s">
        <v>482</v>
      </c>
      <c r="N14" s="2"/>
      <c r="O14" s="2"/>
      <c r="P14" s="2"/>
      <c r="Q14" s="2"/>
      <c r="R14" s="2"/>
      <c r="S14" s="2"/>
    </row>
    <row r="15" spans="1:19" s="361" customFormat="1" ht="15.75" thickBot="1" x14ac:dyDescent="0.3">
      <c r="A15" s="404"/>
      <c r="B15" s="409"/>
      <c r="C15" s="404"/>
      <c r="D15" s="404"/>
      <c r="E15" s="402"/>
      <c r="F15" s="362" t="s">
        <v>8</v>
      </c>
      <c r="G15" s="362" t="s">
        <v>7</v>
      </c>
      <c r="H15" s="362" t="s">
        <v>8</v>
      </c>
      <c r="I15" s="362" t="s">
        <v>7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thickBot="1" x14ac:dyDescent="0.3">
      <c r="A16" s="194">
        <v>1</v>
      </c>
      <c r="B16" s="199">
        <v>2</v>
      </c>
      <c r="C16" s="195">
        <v>3</v>
      </c>
      <c r="D16" s="195">
        <v>4</v>
      </c>
      <c r="E16" s="195">
        <v>5</v>
      </c>
      <c r="F16" s="195">
        <v>6</v>
      </c>
      <c r="G16" s="195">
        <v>7</v>
      </c>
      <c r="H16" s="195">
        <v>8</v>
      </c>
      <c r="I16" s="195">
        <v>9</v>
      </c>
    </row>
    <row r="17" spans="1:19" ht="16.5" thickBot="1" x14ac:dyDescent="0.3">
      <c r="A17" s="129"/>
      <c r="B17" s="200"/>
      <c r="C17" s="287" t="s">
        <v>303</v>
      </c>
      <c r="D17" s="133"/>
      <c r="E17" s="367"/>
      <c r="F17" s="192"/>
      <c r="G17" s="160"/>
      <c r="H17" s="193"/>
      <c r="I17" s="162"/>
      <c r="J17" s="1"/>
      <c r="K17" s="1"/>
      <c r="P17" s="1"/>
      <c r="Q17" s="1"/>
      <c r="R17" s="1"/>
      <c r="S17" s="1"/>
    </row>
    <row r="18" spans="1:19" ht="15.75" thickBot="1" x14ac:dyDescent="0.3">
      <c r="A18" s="46"/>
      <c r="B18" s="134" t="s">
        <v>214</v>
      </c>
      <c r="C18" s="135" t="s">
        <v>304</v>
      </c>
      <c r="D18" s="363"/>
      <c r="E18" s="368"/>
      <c r="F18" s="99"/>
      <c r="G18" s="136"/>
      <c r="H18" s="121"/>
      <c r="I18" s="86"/>
      <c r="J18" s="1"/>
      <c r="K18" s="1"/>
      <c r="P18" s="1"/>
      <c r="Q18" s="1"/>
      <c r="R18" s="1"/>
      <c r="S18" s="1"/>
    </row>
    <row r="19" spans="1:19" x14ac:dyDescent="0.25">
      <c r="A19" s="173" t="s">
        <v>46</v>
      </c>
      <c r="B19" s="201" t="s">
        <v>9</v>
      </c>
      <c r="C19" s="196" t="s">
        <v>212</v>
      </c>
      <c r="D19" s="56" t="s">
        <v>14</v>
      </c>
      <c r="E19" s="57">
        <v>919</v>
      </c>
      <c r="F19" s="150"/>
      <c r="G19" s="146">
        <v>0</v>
      </c>
      <c r="H19" s="143"/>
      <c r="I19" s="65">
        <f>E19*G19</f>
        <v>0</v>
      </c>
      <c r="J19" s="1"/>
      <c r="K19" s="1"/>
      <c r="P19" s="1"/>
      <c r="Q19" s="1"/>
      <c r="R19" s="1"/>
      <c r="S19" s="1"/>
    </row>
    <row r="20" spans="1:19" ht="15.75" thickBot="1" x14ac:dyDescent="0.3">
      <c r="A20" s="34" t="s">
        <v>12</v>
      </c>
      <c r="B20" s="202" t="s">
        <v>13</v>
      </c>
      <c r="C20" s="123" t="s">
        <v>213</v>
      </c>
      <c r="D20" s="59" t="s">
        <v>14</v>
      </c>
      <c r="E20" s="60">
        <v>919</v>
      </c>
      <c r="F20" s="61">
        <v>0</v>
      </c>
      <c r="G20" s="107"/>
      <c r="H20" s="111">
        <f>E20*F20</f>
        <v>0</v>
      </c>
      <c r="I20" s="44"/>
      <c r="J20" s="1"/>
      <c r="K20" s="1"/>
      <c r="P20" s="1"/>
      <c r="Q20" s="1"/>
      <c r="R20" s="1"/>
      <c r="S20" s="1"/>
    </row>
    <row r="21" spans="1:19" ht="15.75" thickBot="1" x14ac:dyDescent="0.3">
      <c r="A21" s="260"/>
      <c r="B21" s="261"/>
      <c r="C21" s="265" t="s">
        <v>417</v>
      </c>
      <c r="D21" s="262"/>
      <c r="E21" s="263"/>
      <c r="F21" s="264"/>
      <c r="G21" s="264"/>
      <c r="H21" s="266">
        <f>SUM(H20)</f>
        <v>0</v>
      </c>
      <c r="I21" s="267">
        <f>SUM(I19:I20)</f>
        <v>0</v>
      </c>
      <c r="J21" s="1"/>
      <c r="K21" s="1"/>
      <c r="P21" s="1"/>
      <c r="Q21" s="1"/>
      <c r="R21" s="1"/>
      <c r="S21" s="1"/>
    </row>
    <row r="22" spans="1:19" ht="15.75" thickBot="1" x14ac:dyDescent="0.3">
      <c r="A22" s="66"/>
      <c r="B22" s="203"/>
      <c r="C22" s="400" t="s">
        <v>305</v>
      </c>
      <c r="D22" s="400"/>
      <c r="E22" s="400"/>
      <c r="F22" s="400"/>
      <c r="G22" s="400"/>
      <c r="H22" s="400"/>
      <c r="I22" s="400"/>
      <c r="J22" s="1"/>
      <c r="K22" s="1"/>
      <c r="P22" s="1"/>
      <c r="Q22" s="1"/>
      <c r="R22" s="1"/>
      <c r="S22" s="1"/>
    </row>
    <row r="23" spans="1:19" ht="42.75" x14ac:dyDescent="0.25">
      <c r="A23" s="67" t="s">
        <v>16</v>
      </c>
      <c r="B23" s="204" t="s">
        <v>9</v>
      </c>
      <c r="C23" s="68" t="s">
        <v>53</v>
      </c>
      <c r="D23" s="69" t="s">
        <v>54</v>
      </c>
      <c r="E23" s="69">
        <f>98.49+9.5+7.98+47.5</f>
        <v>163.47</v>
      </c>
      <c r="F23" s="96"/>
      <c r="G23" s="42">
        <v>0</v>
      </c>
      <c r="H23" s="96"/>
      <c r="I23" s="42">
        <f>E23*G23</f>
        <v>0</v>
      </c>
      <c r="J23" s="1"/>
      <c r="K23" s="1">
        <f>K25+K26+K27+K29</f>
        <v>163.47</v>
      </c>
      <c r="P23" s="1"/>
      <c r="Q23" s="1"/>
      <c r="R23" s="1"/>
      <c r="S23" s="1"/>
    </row>
    <row r="24" spans="1:19" x14ac:dyDescent="0.25">
      <c r="A24" s="29" t="s">
        <v>17</v>
      </c>
      <c r="B24" s="205" t="s">
        <v>13</v>
      </c>
      <c r="C24" s="70" t="s">
        <v>55</v>
      </c>
      <c r="D24" s="71" t="s">
        <v>38</v>
      </c>
      <c r="E24" s="72">
        <f>0.606*E23</f>
        <v>99.06</v>
      </c>
      <c r="F24" s="33">
        <v>0</v>
      </c>
      <c r="G24" s="15"/>
      <c r="H24" s="33">
        <f>E24*F24</f>
        <v>0</v>
      </c>
      <c r="I24" s="15"/>
      <c r="J24" s="1"/>
      <c r="K24" s="1"/>
      <c r="P24" s="1"/>
      <c r="Q24" s="1"/>
      <c r="R24" s="1"/>
      <c r="S24" s="1"/>
    </row>
    <row r="25" spans="1:19" x14ac:dyDescent="0.25">
      <c r="A25" s="29" t="s">
        <v>18</v>
      </c>
      <c r="B25" s="205" t="s">
        <v>13</v>
      </c>
      <c r="C25" s="70" t="s">
        <v>56</v>
      </c>
      <c r="D25" s="71" t="s">
        <v>58</v>
      </c>
      <c r="E25" s="71">
        <v>313.5</v>
      </c>
      <c r="F25" s="33">
        <v>0</v>
      </c>
      <c r="G25" s="15"/>
      <c r="H25" s="33">
        <f>E25*F25</f>
        <v>0</v>
      </c>
      <c r="I25" s="15"/>
      <c r="J25" s="1"/>
      <c r="K25" s="1">
        <v>98.49</v>
      </c>
      <c r="P25" s="1"/>
      <c r="Q25" s="1"/>
      <c r="R25" s="1"/>
      <c r="S25" s="1"/>
    </row>
    <row r="26" spans="1:19" ht="30" x14ac:dyDescent="0.25">
      <c r="A26" s="29" t="s">
        <v>47</v>
      </c>
      <c r="B26" s="205" t="s">
        <v>13</v>
      </c>
      <c r="C26" s="128" t="s">
        <v>172</v>
      </c>
      <c r="D26" s="71" t="s">
        <v>14</v>
      </c>
      <c r="E26" s="71">
        <v>190</v>
      </c>
      <c r="F26" s="33">
        <v>0</v>
      </c>
      <c r="G26" s="15"/>
      <c r="H26" s="33">
        <f t="shared" ref="H26:H27" si="0">E26*F26</f>
        <v>0</v>
      </c>
      <c r="I26" s="15"/>
      <c r="J26" s="1"/>
      <c r="K26" s="1">
        <f>E26*0.05</f>
        <v>9.5</v>
      </c>
      <c r="P26" s="1"/>
      <c r="Q26" s="1"/>
      <c r="R26" s="1"/>
      <c r="S26" s="1"/>
    </row>
    <row r="27" spans="1:19" ht="30" x14ac:dyDescent="0.25">
      <c r="A27" s="29" t="s">
        <v>49</v>
      </c>
      <c r="B27" s="205" t="s">
        <v>13</v>
      </c>
      <c r="C27" s="128" t="s">
        <v>173</v>
      </c>
      <c r="D27" s="71" t="s">
        <v>14</v>
      </c>
      <c r="E27" s="71">
        <v>133</v>
      </c>
      <c r="F27" s="33">
        <v>0</v>
      </c>
      <c r="G27" s="15"/>
      <c r="H27" s="33">
        <f t="shared" si="0"/>
        <v>0</v>
      </c>
      <c r="I27" s="15"/>
      <c r="J27" s="1"/>
      <c r="K27" s="1">
        <f>E27*0.06</f>
        <v>7.98</v>
      </c>
      <c r="P27" s="1"/>
      <c r="Q27" s="1"/>
      <c r="R27" s="1"/>
      <c r="S27" s="1"/>
    </row>
    <row r="28" spans="1:19" x14ac:dyDescent="0.25">
      <c r="A28" s="29" t="s">
        <v>50</v>
      </c>
      <c r="B28" s="205" t="s">
        <v>13</v>
      </c>
      <c r="C28" s="128" t="s">
        <v>457</v>
      </c>
      <c r="D28" s="71" t="s">
        <v>14</v>
      </c>
      <c r="E28" s="71">
        <v>0</v>
      </c>
      <c r="F28" s="33">
        <v>0</v>
      </c>
      <c r="G28" s="15"/>
      <c r="H28" s="33">
        <f>E28*F28</f>
        <v>0</v>
      </c>
      <c r="I28" s="15"/>
      <c r="J28" s="1"/>
      <c r="K28" s="1"/>
      <c r="P28" s="1"/>
      <c r="Q28" s="1"/>
      <c r="R28" s="1"/>
      <c r="S28" s="1"/>
    </row>
    <row r="29" spans="1:19" x14ac:dyDescent="0.25">
      <c r="A29" s="29" t="s">
        <v>192</v>
      </c>
      <c r="B29" s="205" t="s">
        <v>13</v>
      </c>
      <c r="C29" s="128" t="s">
        <v>458</v>
      </c>
      <c r="D29" s="71" t="s">
        <v>14</v>
      </c>
      <c r="E29" s="71">
        <v>475</v>
      </c>
      <c r="F29" s="33">
        <v>0</v>
      </c>
      <c r="G29" s="15"/>
      <c r="H29" s="33">
        <f>E29*F29</f>
        <v>0</v>
      </c>
      <c r="I29" s="15"/>
      <c r="J29" s="1"/>
      <c r="K29" s="1">
        <f>0.1*E29</f>
        <v>47.5</v>
      </c>
      <c r="P29" s="1"/>
      <c r="Q29" s="1"/>
      <c r="R29" s="1"/>
      <c r="S29" s="1"/>
    </row>
    <row r="30" spans="1:19" ht="42.75" x14ac:dyDescent="0.25">
      <c r="A30" s="26" t="s">
        <v>19</v>
      </c>
      <c r="B30" s="228" t="s">
        <v>9</v>
      </c>
      <c r="C30" s="74" t="s">
        <v>153</v>
      </c>
      <c r="D30" s="75" t="s">
        <v>54</v>
      </c>
      <c r="E30" s="75">
        <f>178.54+9.69+32.3</f>
        <v>220.53</v>
      </c>
      <c r="F30" s="28"/>
      <c r="G30" s="58">
        <v>0</v>
      </c>
      <c r="H30" s="28"/>
      <c r="I30" s="58">
        <f>E30*G30</f>
        <v>0</v>
      </c>
      <c r="J30" s="1"/>
      <c r="K30" s="1"/>
      <c r="P30" s="1"/>
      <c r="Q30" s="1"/>
      <c r="R30" s="1"/>
      <c r="S30" s="1"/>
    </row>
    <row r="31" spans="1:19" x14ac:dyDescent="0.25">
      <c r="A31" s="29" t="s">
        <v>21</v>
      </c>
      <c r="B31" s="205" t="s">
        <v>13</v>
      </c>
      <c r="C31" s="70" t="s">
        <v>55</v>
      </c>
      <c r="D31" s="71" t="s">
        <v>38</v>
      </c>
      <c r="E31" s="72">
        <f>0.606*E30</f>
        <v>133.63999999999999</v>
      </c>
      <c r="F31" s="33">
        <v>0</v>
      </c>
      <c r="G31" s="15"/>
      <c r="H31" s="33">
        <f t="shared" ref="H31:H35" si="1">E31*F31</f>
        <v>0</v>
      </c>
      <c r="I31" s="15"/>
      <c r="J31" s="1"/>
      <c r="K31" s="1"/>
      <c r="P31" s="1"/>
      <c r="Q31" s="1"/>
      <c r="R31" s="1"/>
      <c r="S31" s="1"/>
    </row>
    <row r="32" spans="1:19" x14ac:dyDescent="0.25">
      <c r="A32" s="29" t="s">
        <v>22</v>
      </c>
      <c r="B32" s="205" t="s">
        <v>13</v>
      </c>
      <c r="C32" s="70" t="s">
        <v>155</v>
      </c>
      <c r="D32" s="71" t="s">
        <v>58</v>
      </c>
      <c r="E32" s="71">
        <v>568.29999999999995</v>
      </c>
      <c r="F32" s="33">
        <v>0</v>
      </c>
      <c r="G32" s="15"/>
      <c r="H32" s="33">
        <f t="shared" si="1"/>
        <v>0</v>
      </c>
      <c r="I32" s="15"/>
      <c r="J32" s="1"/>
      <c r="K32" s="1">
        <v>178.54</v>
      </c>
      <c r="P32" s="1"/>
      <c r="Q32" s="1"/>
      <c r="R32" s="1"/>
      <c r="S32" s="1"/>
    </row>
    <row r="33" spans="1:19" x14ac:dyDescent="0.25">
      <c r="A33" s="29" t="s">
        <v>59</v>
      </c>
      <c r="B33" s="205" t="s">
        <v>13</v>
      </c>
      <c r="C33" s="70" t="s">
        <v>158</v>
      </c>
      <c r="D33" s="71" t="s">
        <v>14</v>
      </c>
      <c r="E33" s="71">
        <v>323</v>
      </c>
      <c r="F33" s="33">
        <v>0</v>
      </c>
      <c r="G33" s="15"/>
      <c r="H33" s="33">
        <f t="shared" si="1"/>
        <v>0</v>
      </c>
      <c r="I33" s="15"/>
      <c r="J33" s="1"/>
      <c r="K33" s="1">
        <f>E33*0.03</f>
        <v>9.69</v>
      </c>
      <c r="M33" s="115">
        <v>0.1</v>
      </c>
      <c r="P33" s="1"/>
      <c r="Q33" s="1"/>
      <c r="R33" s="1"/>
      <c r="S33" s="1"/>
    </row>
    <row r="34" spans="1:19" x14ac:dyDescent="0.25">
      <c r="A34" s="29" t="s">
        <v>371</v>
      </c>
      <c r="B34" s="205" t="s">
        <v>13</v>
      </c>
      <c r="C34" s="70" t="s">
        <v>441</v>
      </c>
      <c r="D34" s="71" t="s">
        <v>14</v>
      </c>
      <c r="E34" s="71">
        <v>323</v>
      </c>
      <c r="F34" s="33">
        <v>0</v>
      </c>
      <c r="G34" s="15"/>
      <c r="H34" s="33">
        <f t="shared" si="1"/>
        <v>0</v>
      </c>
      <c r="I34" s="15"/>
      <c r="J34" s="1"/>
      <c r="K34" s="1">
        <f>E34*0.1</f>
        <v>32.299999999999997</v>
      </c>
      <c r="P34" s="1"/>
      <c r="Q34" s="1"/>
      <c r="R34" s="1"/>
      <c r="S34" s="1"/>
    </row>
    <row r="35" spans="1:19" ht="27" customHeight="1" x14ac:dyDescent="0.25">
      <c r="A35" s="29" t="s">
        <v>372</v>
      </c>
      <c r="B35" s="205" t="s">
        <v>13</v>
      </c>
      <c r="C35" s="11" t="s">
        <v>156</v>
      </c>
      <c r="D35" s="20" t="s">
        <v>14</v>
      </c>
      <c r="E35" s="20">
        <v>323</v>
      </c>
      <c r="F35" s="33">
        <v>0</v>
      </c>
      <c r="G35" s="15"/>
      <c r="H35" s="33">
        <f t="shared" si="1"/>
        <v>0</v>
      </c>
      <c r="I35" s="15"/>
      <c r="J35" s="1"/>
      <c r="K35" s="1"/>
      <c r="P35" s="1"/>
      <c r="Q35" s="1"/>
      <c r="R35" s="1"/>
      <c r="S35" s="1"/>
    </row>
    <row r="36" spans="1:19" ht="42.75" x14ac:dyDescent="0.25">
      <c r="A36" s="26" t="s">
        <v>23</v>
      </c>
      <c r="B36" s="239" t="s">
        <v>9</v>
      </c>
      <c r="C36" s="250" t="s">
        <v>157</v>
      </c>
      <c r="D36" s="19" t="s">
        <v>54</v>
      </c>
      <c r="E36" s="19">
        <f>0.88+86.32+0.56+0.16+0.78</f>
        <v>88.7</v>
      </c>
      <c r="F36" s="28"/>
      <c r="G36" s="58">
        <v>0</v>
      </c>
      <c r="H36" s="28"/>
      <c r="I36" s="58">
        <f>E36*G36</f>
        <v>0</v>
      </c>
      <c r="J36" s="1"/>
      <c r="K36" s="1"/>
      <c r="P36" s="1"/>
      <c r="Q36" s="1"/>
      <c r="R36" s="1"/>
      <c r="S36" s="1"/>
    </row>
    <row r="37" spans="1:19" x14ac:dyDescent="0.25">
      <c r="A37" s="29" t="s">
        <v>24</v>
      </c>
      <c r="B37" s="205" t="s">
        <v>13</v>
      </c>
      <c r="C37" s="188" t="s">
        <v>165</v>
      </c>
      <c r="D37" s="20" t="s">
        <v>38</v>
      </c>
      <c r="E37" s="76">
        <f>0.712*E36</f>
        <v>63.15</v>
      </c>
      <c r="F37" s="33">
        <v>0</v>
      </c>
      <c r="G37" s="15"/>
      <c r="H37" s="33">
        <f t="shared" ref="H37:H42" si="2">E37*F37</f>
        <v>0</v>
      </c>
      <c r="I37" s="15"/>
      <c r="J37" s="1"/>
      <c r="K37" s="1"/>
      <c r="P37" s="1"/>
      <c r="Q37" s="1"/>
      <c r="R37" s="1"/>
      <c r="S37" s="1"/>
    </row>
    <row r="38" spans="1:19" x14ac:dyDescent="0.25">
      <c r="A38" s="29" t="s">
        <v>60</v>
      </c>
      <c r="B38" s="205" t="s">
        <v>13</v>
      </c>
      <c r="C38" s="188" t="s">
        <v>160</v>
      </c>
      <c r="D38" s="20" t="s">
        <v>58</v>
      </c>
      <c r="E38" s="20">
        <v>1.1000000000000001</v>
      </c>
      <c r="F38" s="33">
        <v>0</v>
      </c>
      <c r="G38" s="15"/>
      <c r="H38" s="33">
        <f t="shared" si="2"/>
        <v>0</v>
      </c>
      <c r="I38" s="15"/>
      <c r="J38" s="1"/>
      <c r="K38" s="1">
        <v>0.88</v>
      </c>
      <c r="P38" s="1"/>
      <c r="Q38" s="1"/>
      <c r="R38" s="1"/>
      <c r="S38" s="1"/>
    </row>
    <row r="39" spans="1:19" x14ac:dyDescent="0.25">
      <c r="A39" s="29" t="s">
        <v>138</v>
      </c>
      <c r="B39" s="205" t="s">
        <v>13</v>
      </c>
      <c r="C39" s="188" t="s">
        <v>161</v>
      </c>
      <c r="D39" s="20" t="s">
        <v>58</v>
      </c>
      <c r="E39" s="20">
        <v>107.9</v>
      </c>
      <c r="F39" s="33">
        <v>0</v>
      </c>
      <c r="G39" s="15"/>
      <c r="H39" s="33">
        <f t="shared" si="2"/>
        <v>0</v>
      </c>
      <c r="I39" s="15"/>
      <c r="J39" s="1"/>
      <c r="K39" s="1">
        <v>86.32</v>
      </c>
      <c r="P39" s="1"/>
      <c r="Q39" s="1"/>
      <c r="R39" s="1"/>
      <c r="S39" s="1"/>
    </row>
    <row r="40" spans="1:19" x14ac:dyDescent="0.25">
      <c r="A40" s="29" t="s">
        <v>373</v>
      </c>
      <c r="B40" s="205" t="s">
        <v>13</v>
      </c>
      <c r="C40" s="188" t="s">
        <v>162</v>
      </c>
      <c r="D40" s="20" t="s">
        <v>14</v>
      </c>
      <c r="E40" s="20">
        <v>2</v>
      </c>
      <c r="F40" s="33">
        <v>0</v>
      </c>
      <c r="G40" s="15"/>
      <c r="H40" s="33">
        <f t="shared" si="2"/>
        <v>0</v>
      </c>
      <c r="I40" s="15"/>
      <c r="J40" s="1"/>
      <c r="K40" s="1">
        <f>E40*0.28</f>
        <v>0.56000000000000005</v>
      </c>
      <c r="P40" s="1"/>
      <c r="Q40" s="1"/>
      <c r="R40" s="1"/>
      <c r="S40" s="1"/>
    </row>
    <row r="41" spans="1:19" x14ac:dyDescent="0.25">
      <c r="A41" s="29" t="s">
        <v>376</v>
      </c>
      <c r="B41" s="205" t="s">
        <v>13</v>
      </c>
      <c r="C41" s="188" t="s">
        <v>171</v>
      </c>
      <c r="D41" s="20" t="s">
        <v>14</v>
      </c>
      <c r="E41" s="20">
        <v>2</v>
      </c>
      <c r="F41" s="33">
        <v>0</v>
      </c>
      <c r="G41" s="15"/>
      <c r="H41" s="33">
        <f t="shared" si="2"/>
        <v>0</v>
      </c>
      <c r="I41" s="15"/>
      <c r="J41" s="1"/>
      <c r="K41" s="1">
        <f>E41*0.08</f>
        <v>0.16</v>
      </c>
      <c r="P41" s="1"/>
      <c r="Q41" s="1"/>
      <c r="R41" s="1"/>
      <c r="S41" s="1"/>
    </row>
    <row r="42" spans="1:19" ht="30" x14ac:dyDescent="0.25">
      <c r="A42" s="29" t="s">
        <v>377</v>
      </c>
      <c r="B42" s="205" t="s">
        <v>13</v>
      </c>
      <c r="C42" s="188" t="s">
        <v>164</v>
      </c>
      <c r="D42" s="20" t="s">
        <v>14</v>
      </c>
      <c r="E42" s="20">
        <v>2</v>
      </c>
      <c r="F42" s="33">
        <v>0</v>
      </c>
      <c r="G42" s="15"/>
      <c r="H42" s="33">
        <f t="shared" si="2"/>
        <v>0</v>
      </c>
      <c r="I42" s="15"/>
      <c r="J42" s="1"/>
      <c r="K42" s="1">
        <f>E42*0.39</f>
        <v>0.78</v>
      </c>
      <c r="P42" s="1"/>
      <c r="Q42" s="1"/>
      <c r="R42" s="1"/>
      <c r="S42" s="1"/>
    </row>
    <row r="43" spans="1:19" ht="42.75" x14ac:dyDescent="0.25">
      <c r="A43" s="26" t="s">
        <v>51</v>
      </c>
      <c r="B43" s="228" t="s">
        <v>9</v>
      </c>
      <c r="C43" s="74" t="s">
        <v>166</v>
      </c>
      <c r="D43" s="19" t="s">
        <v>54</v>
      </c>
      <c r="E43" s="19">
        <v>674.4</v>
      </c>
      <c r="F43" s="28"/>
      <c r="G43" s="58">
        <v>0</v>
      </c>
      <c r="H43" s="28"/>
      <c r="I43" s="58">
        <f>E43*G43</f>
        <v>0</v>
      </c>
      <c r="J43" s="1"/>
      <c r="K43" s="1">
        <f>K45+K46+K47+K48+K49+K50+K51+K52+K53+K54+K55+K56+K57+K58+K59+K60+K61+K62</f>
        <v>674.4</v>
      </c>
      <c r="P43" s="1"/>
      <c r="Q43" s="1"/>
      <c r="R43" s="1"/>
      <c r="S43" s="1"/>
    </row>
    <row r="44" spans="1:19" x14ac:dyDescent="0.25">
      <c r="A44" s="29" t="s">
        <v>26</v>
      </c>
      <c r="B44" s="205" t="s">
        <v>13</v>
      </c>
      <c r="C44" s="11" t="s">
        <v>55</v>
      </c>
      <c r="D44" s="20" t="s">
        <v>38</v>
      </c>
      <c r="E44" s="76">
        <f>1.22*E43</f>
        <v>822.77</v>
      </c>
      <c r="F44" s="33">
        <v>0</v>
      </c>
      <c r="G44" s="15"/>
      <c r="H44" s="33">
        <f t="shared" ref="H44:H62" si="3">E44*F44</f>
        <v>0</v>
      </c>
      <c r="I44" s="15"/>
      <c r="J44" s="1"/>
      <c r="K44" s="1"/>
      <c r="P44" s="1"/>
      <c r="Q44" s="1"/>
      <c r="R44" s="1"/>
      <c r="S44" s="1"/>
    </row>
    <row r="45" spans="1:19" x14ac:dyDescent="0.25">
      <c r="A45" s="29" t="s">
        <v>27</v>
      </c>
      <c r="B45" s="205" t="s">
        <v>13</v>
      </c>
      <c r="C45" s="11" t="s">
        <v>193</v>
      </c>
      <c r="D45" s="20" t="s">
        <v>58</v>
      </c>
      <c r="E45" s="76">
        <v>107.8</v>
      </c>
      <c r="F45" s="33">
        <v>0</v>
      </c>
      <c r="G45" s="15"/>
      <c r="H45" s="33">
        <f>E45*F45</f>
        <v>0</v>
      </c>
      <c r="I45" s="15"/>
      <c r="J45" s="1"/>
      <c r="K45" s="1">
        <f>1.1*107.8</f>
        <v>118.58</v>
      </c>
      <c r="P45" s="1"/>
      <c r="Q45" s="1"/>
      <c r="R45" s="1"/>
      <c r="S45" s="1"/>
    </row>
    <row r="46" spans="1:19" ht="22.5" customHeight="1" x14ac:dyDescent="0.25">
      <c r="A46" s="29" t="s">
        <v>28</v>
      </c>
      <c r="B46" s="205" t="s">
        <v>13</v>
      </c>
      <c r="C46" s="11" t="s">
        <v>167</v>
      </c>
      <c r="D46" s="20" t="s">
        <v>58</v>
      </c>
      <c r="E46" s="20">
        <v>161.6</v>
      </c>
      <c r="F46" s="33">
        <v>0</v>
      </c>
      <c r="G46" s="15"/>
      <c r="H46" s="33">
        <f t="shared" si="3"/>
        <v>0</v>
      </c>
      <c r="I46" s="15"/>
      <c r="J46" s="1"/>
      <c r="K46" s="1">
        <f>1.3*E46</f>
        <v>210.08</v>
      </c>
      <c r="P46" s="1"/>
      <c r="Q46" s="1"/>
      <c r="R46" s="1"/>
      <c r="S46" s="1"/>
    </row>
    <row r="47" spans="1:19" x14ac:dyDescent="0.25">
      <c r="A47" s="29" t="s">
        <v>62</v>
      </c>
      <c r="B47" s="205" t="s">
        <v>13</v>
      </c>
      <c r="C47" s="11" t="s">
        <v>168</v>
      </c>
      <c r="D47" s="20" t="s">
        <v>58</v>
      </c>
      <c r="E47" s="20">
        <v>216.2</v>
      </c>
      <c r="F47" s="33">
        <v>0</v>
      </c>
      <c r="G47" s="15"/>
      <c r="H47" s="33">
        <f t="shared" si="3"/>
        <v>0</v>
      </c>
      <c r="I47" s="15"/>
      <c r="J47" s="1"/>
      <c r="K47" s="1">
        <f>1.5*E47</f>
        <v>324.3</v>
      </c>
      <c r="P47" s="1"/>
      <c r="Q47" s="1"/>
      <c r="R47" s="1"/>
      <c r="S47" s="1"/>
    </row>
    <row r="48" spans="1:19" x14ac:dyDescent="0.25">
      <c r="A48" s="29" t="s">
        <v>232</v>
      </c>
      <c r="B48" s="205" t="s">
        <v>13</v>
      </c>
      <c r="C48" s="11" t="s">
        <v>313</v>
      </c>
      <c r="D48" s="20" t="s">
        <v>58</v>
      </c>
      <c r="E48" s="20">
        <v>0.2</v>
      </c>
      <c r="F48" s="33">
        <v>0</v>
      </c>
      <c r="G48" s="15"/>
      <c r="H48" s="33">
        <f t="shared" si="3"/>
        <v>0</v>
      </c>
      <c r="I48" s="15"/>
      <c r="J48" s="1"/>
      <c r="K48" s="1">
        <f>1.1*E48</f>
        <v>0.22</v>
      </c>
      <c r="P48" s="1"/>
      <c r="Q48" s="1"/>
      <c r="R48" s="1"/>
      <c r="S48" s="1"/>
    </row>
    <row r="49" spans="1:19" x14ac:dyDescent="0.25">
      <c r="A49" s="29" t="s">
        <v>378</v>
      </c>
      <c r="B49" s="205" t="s">
        <v>13</v>
      </c>
      <c r="C49" s="11" t="s">
        <v>169</v>
      </c>
      <c r="D49" s="20" t="s">
        <v>58</v>
      </c>
      <c r="E49" s="20">
        <v>1.4</v>
      </c>
      <c r="F49" s="33">
        <v>0</v>
      </c>
      <c r="G49" s="15"/>
      <c r="H49" s="33">
        <f t="shared" si="3"/>
        <v>0</v>
      </c>
      <c r="I49" s="15"/>
      <c r="J49" s="1"/>
      <c r="K49" s="1">
        <f>0.65*2*1.4</f>
        <v>1.82</v>
      </c>
      <c r="P49" s="1"/>
      <c r="Q49" s="1"/>
      <c r="R49" s="1"/>
      <c r="S49" s="1"/>
    </row>
    <row r="50" spans="1:19" x14ac:dyDescent="0.25">
      <c r="A50" s="29" t="s">
        <v>379</v>
      </c>
      <c r="B50" s="205" t="s">
        <v>13</v>
      </c>
      <c r="C50" s="11" t="s">
        <v>170</v>
      </c>
      <c r="D50" s="20" t="s">
        <v>58</v>
      </c>
      <c r="E50" s="20">
        <v>3.5</v>
      </c>
      <c r="F50" s="33">
        <v>0</v>
      </c>
      <c r="G50" s="15"/>
      <c r="H50" s="33">
        <f t="shared" si="3"/>
        <v>0</v>
      </c>
      <c r="I50" s="15"/>
      <c r="J50" s="1"/>
      <c r="K50" s="1">
        <f>1.5*3.5</f>
        <v>5.25</v>
      </c>
      <c r="P50" s="1"/>
      <c r="Q50" s="1"/>
      <c r="R50" s="1"/>
      <c r="S50" s="1"/>
    </row>
    <row r="51" spans="1:19" x14ac:dyDescent="0.25">
      <c r="A51" s="29" t="s">
        <v>380</v>
      </c>
      <c r="B51" s="205" t="s">
        <v>13</v>
      </c>
      <c r="C51" s="11" t="s">
        <v>195</v>
      </c>
      <c r="D51" s="20" t="s">
        <v>14</v>
      </c>
      <c r="E51" s="20">
        <v>2</v>
      </c>
      <c r="F51" s="33">
        <v>0</v>
      </c>
      <c r="G51" s="15"/>
      <c r="H51" s="33">
        <f t="shared" si="3"/>
        <v>0</v>
      </c>
      <c r="I51" s="15"/>
      <c r="J51" s="1"/>
      <c r="K51" s="1">
        <f>E51*0.39</f>
        <v>0.78</v>
      </c>
      <c r="M51" s="115">
        <v>0.35</v>
      </c>
      <c r="P51" s="1"/>
      <c r="Q51" s="1"/>
      <c r="R51" s="1"/>
      <c r="S51" s="1"/>
    </row>
    <row r="52" spans="1:19" x14ac:dyDescent="0.25">
      <c r="A52" s="29" t="s">
        <v>381</v>
      </c>
      <c r="B52" s="205" t="s">
        <v>13</v>
      </c>
      <c r="C52" s="11" t="s">
        <v>174</v>
      </c>
      <c r="D52" s="20" t="s">
        <v>14</v>
      </c>
      <c r="E52" s="71">
        <v>1</v>
      </c>
      <c r="F52" s="33">
        <v>0</v>
      </c>
      <c r="G52" s="15"/>
      <c r="H52" s="33">
        <f t="shared" si="3"/>
        <v>0</v>
      </c>
      <c r="I52" s="15"/>
      <c r="J52" s="1"/>
      <c r="K52" s="299">
        <f>0.46*1</f>
        <v>0.46</v>
      </c>
      <c r="P52" s="1"/>
      <c r="Q52" s="1"/>
      <c r="R52" s="1"/>
      <c r="S52" s="1"/>
    </row>
    <row r="53" spans="1:19" x14ac:dyDescent="0.25">
      <c r="A53" s="29" t="s">
        <v>382</v>
      </c>
      <c r="B53" s="205" t="s">
        <v>13</v>
      </c>
      <c r="C53" s="11" t="s">
        <v>176</v>
      </c>
      <c r="D53" s="20" t="s">
        <v>14</v>
      </c>
      <c r="E53" s="71">
        <v>4</v>
      </c>
      <c r="F53" s="33">
        <v>0</v>
      </c>
      <c r="G53" s="15"/>
      <c r="H53" s="33">
        <f>E53*F53</f>
        <v>0</v>
      </c>
      <c r="I53" s="15"/>
      <c r="J53" s="1"/>
      <c r="K53" s="299">
        <f>4*0.53</f>
        <v>2.12</v>
      </c>
      <c r="P53" s="1"/>
      <c r="Q53" s="1"/>
      <c r="R53" s="1"/>
      <c r="S53" s="1"/>
    </row>
    <row r="54" spans="1:19" x14ac:dyDescent="0.25">
      <c r="A54" s="29" t="s">
        <v>383</v>
      </c>
      <c r="B54" s="205" t="s">
        <v>13</v>
      </c>
      <c r="C54" s="11" t="s">
        <v>196</v>
      </c>
      <c r="D54" s="20" t="s">
        <v>14</v>
      </c>
      <c r="E54" s="71">
        <v>2</v>
      </c>
      <c r="F54" s="33">
        <v>0</v>
      </c>
      <c r="G54" s="15"/>
      <c r="H54" s="33">
        <f>E54*F54</f>
        <v>0</v>
      </c>
      <c r="I54" s="15"/>
      <c r="J54" s="1"/>
      <c r="K54" s="299">
        <f>E54*0.13</f>
        <v>0.26</v>
      </c>
      <c r="P54" s="1"/>
      <c r="Q54" s="1"/>
      <c r="R54" s="1"/>
      <c r="S54" s="1"/>
    </row>
    <row r="55" spans="1:19" x14ac:dyDescent="0.25">
      <c r="A55" s="29" t="s">
        <v>464</v>
      </c>
      <c r="B55" s="205" t="s">
        <v>13</v>
      </c>
      <c r="C55" s="11" t="s">
        <v>175</v>
      </c>
      <c r="D55" s="20" t="s">
        <v>14</v>
      </c>
      <c r="E55" s="71">
        <v>3</v>
      </c>
      <c r="F55" s="33">
        <v>0</v>
      </c>
      <c r="G55" s="15"/>
      <c r="H55" s="33">
        <f t="shared" si="3"/>
        <v>0</v>
      </c>
      <c r="I55" s="15"/>
      <c r="J55" s="1"/>
      <c r="K55" s="299">
        <f>3*0.17</f>
        <v>0.51</v>
      </c>
      <c r="P55" s="1"/>
      <c r="Q55" s="1"/>
      <c r="R55" s="1"/>
      <c r="S55" s="1"/>
    </row>
    <row r="56" spans="1:19" x14ac:dyDescent="0.25">
      <c r="A56" s="29" t="s">
        <v>466</v>
      </c>
      <c r="B56" s="205" t="s">
        <v>13</v>
      </c>
      <c r="C56" s="11" t="s">
        <v>315</v>
      </c>
      <c r="D56" s="20" t="s">
        <v>14</v>
      </c>
      <c r="E56" s="71">
        <v>4</v>
      </c>
      <c r="F56" s="33">
        <v>0</v>
      </c>
      <c r="G56" s="15"/>
      <c r="H56" s="33">
        <f t="shared" si="3"/>
        <v>0</v>
      </c>
      <c r="I56" s="15"/>
      <c r="J56" s="1"/>
      <c r="K56" s="299">
        <f>4*0.2</f>
        <v>0.8</v>
      </c>
      <c r="P56" s="1"/>
      <c r="Q56" s="1"/>
      <c r="R56" s="1"/>
      <c r="S56" s="1"/>
    </row>
    <row r="57" spans="1:19" x14ac:dyDescent="0.25">
      <c r="A57" s="29" t="s">
        <v>770</v>
      </c>
      <c r="B57" s="205" t="s">
        <v>13</v>
      </c>
      <c r="C57" s="11" t="s">
        <v>483</v>
      </c>
      <c r="D57" s="20" t="s">
        <v>14</v>
      </c>
      <c r="E57" s="71">
        <v>2</v>
      </c>
      <c r="F57" s="33">
        <v>0</v>
      </c>
      <c r="G57" s="15"/>
      <c r="H57" s="33">
        <f t="shared" si="3"/>
        <v>0</v>
      </c>
      <c r="I57" s="15"/>
      <c r="J57" s="1"/>
      <c r="K57" s="299">
        <f>E57*0.35</f>
        <v>0.7</v>
      </c>
      <c r="P57" s="1"/>
      <c r="Q57" s="1"/>
      <c r="R57" s="1"/>
      <c r="S57" s="1"/>
    </row>
    <row r="58" spans="1:19" x14ac:dyDescent="0.25">
      <c r="A58" s="29" t="s">
        <v>771</v>
      </c>
      <c r="B58" s="205" t="s">
        <v>13</v>
      </c>
      <c r="C58" s="11" t="s">
        <v>197</v>
      </c>
      <c r="D58" s="20" t="s">
        <v>14</v>
      </c>
      <c r="E58" s="71">
        <v>2</v>
      </c>
      <c r="F58" s="33">
        <v>0</v>
      </c>
      <c r="G58" s="15"/>
      <c r="H58" s="33">
        <f t="shared" si="3"/>
        <v>0</v>
      </c>
      <c r="I58" s="15"/>
      <c r="J58" s="1"/>
      <c r="K58" s="299">
        <f>2*0.54</f>
        <v>1.08</v>
      </c>
      <c r="P58" s="1"/>
      <c r="Q58" s="1"/>
      <c r="R58" s="1"/>
      <c r="S58" s="1"/>
    </row>
    <row r="59" spans="1:19" x14ac:dyDescent="0.25">
      <c r="A59" s="29" t="s">
        <v>772</v>
      </c>
      <c r="B59" s="205" t="s">
        <v>13</v>
      </c>
      <c r="C59" s="11" t="s">
        <v>177</v>
      </c>
      <c r="D59" s="20" t="s">
        <v>14</v>
      </c>
      <c r="E59" s="71">
        <v>3</v>
      </c>
      <c r="F59" s="33">
        <v>0</v>
      </c>
      <c r="G59" s="15"/>
      <c r="H59" s="33">
        <f t="shared" si="3"/>
        <v>0</v>
      </c>
      <c r="I59" s="15"/>
      <c r="J59" s="1"/>
      <c r="K59" s="299">
        <f>0.64*E59</f>
        <v>1.92</v>
      </c>
      <c r="P59" s="1"/>
      <c r="Q59" s="1"/>
      <c r="R59" s="1"/>
      <c r="S59" s="1"/>
    </row>
    <row r="60" spans="1:19" x14ac:dyDescent="0.25">
      <c r="A60" s="29" t="s">
        <v>773</v>
      </c>
      <c r="B60" s="205" t="s">
        <v>13</v>
      </c>
      <c r="C60" s="11" t="s">
        <v>178</v>
      </c>
      <c r="D60" s="20" t="s">
        <v>14</v>
      </c>
      <c r="E60" s="71">
        <v>5</v>
      </c>
      <c r="F60" s="33">
        <v>0</v>
      </c>
      <c r="G60" s="15"/>
      <c r="H60" s="33">
        <f t="shared" si="3"/>
        <v>0</v>
      </c>
      <c r="I60" s="15"/>
      <c r="J60" s="1"/>
      <c r="K60" s="299">
        <f>0.74*E60</f>
        <v>3.7</v>
      </c>
      <c r="P60" s="1"/>
      <c r="Q60" s="1"/>
      <c r="R60" s="1"/>
      <c r="S60" s="1"/>
    </row>
    <row r="61" spans="1:19" x14ac:dyDescent="0.25">
      <c r="A61" s="29" t="s">
        <v>774</v>
      </c>
      <c r="B61" s="205" t="s">
        <v>13</v>
      </c>
      <c r="C61" s="11" t="s">
        <v>465</v>
      </c>
      <c r="D61" s="20" t="s">
        <v>14</v>
      </c>
      <c r="E61" s="71">
        <v>1</v>
      </c>
      <c r="F61" s="33">
        <v>0</v>
      </c>
      <c r="G61" s="15"/>
      <c r="H61" s="33">
        <f t="shared" si="3"/>
        <v>0</v>
      </c>
      <c r="I61" s="15"/>
      <c r="J61" s="1"/>
      <c r="K61" s="299">
        <f>0.79*E61</f>
        <v>0.79</v>
      </c>
      <c r="P61" s="1"/>
      <c r="Q61" s="1"/>
      <c r="R61" s="1"/>
      <c r="S61" s="1"/>
    </row>
    <row r="62" spans="1:19" x14ac:dyDescent="0.25">
      <c r="A62" s="29" t="s">
        <v>775</v>
      </c>
      <c r="B62" s="205" t="s">
        <v>13</v>
      </c>
      <c r="C62" s="11" t="s">
        <v>179</v>
      </c>
      <c r="D62" s="20" t="s">
        <v>14</v>
      </c>
      <c r="E62" s="20">
        <v>1</v>
      </c>
      <c r="F62" s="33">
        <v>0</v>
      </c>
      <c r="G62" s="15"/>
      <c r="H62" s="33">
        <f t="shared" si="3"/>
        <v>0</v>
      </c>
      <c r="I62" s="15"/>
      <c r="J62" s="1"/>
      <c r="K62" s="299">
        <f>E62*1.03</f>
        <v>1.03</v>
      </c>
      <c r="P62" s="1"/>
      <c r="Q62" s="1"/>
      <c r="R62" s="1"/>
      <c r="S62" s="1"/>
    </row>
    <row r="63" spans="1:19" ht="44.25" customHeight="1" x14ac:dyDescent="0.25">
      <c r="A63" s="26" t="s">
        <v>29</v>
      </c>
      <c r="B63" s="228" t="s">
        <v>9</v>
      </c>
      <c r="C63" s="74" t="s">
        <v>180</v>
      </c>
      <c r="D63" s="19" t="s">
        <v>54</v>
      </c>
      <c r="E63" s="75">
        <v>18.57</v>
      </c>
      <c r="F63" s="28"/>
      <c r="G63" s="58">
        <v>0</v>
      </c>
      <c r="H63" s="28"/>
      <c r="I63" s="58">
        <f>E63*G63</f>
        <v>0</v>
      </c>
      <c r="J63" s="1"/>
      <c r="K63" s="1"/>
      <c r="P63" s="1"/>
      <c r="Q63" s="1"/>
      <c r="R63" s="1"/>
      <c r="S63" s="1"/>
    </row>
    <row r="64" spans="1:19" x14ac:dyDescent="0.25">
      <c r="A64" s="29" t="s">
        <v>31</v>
      </c>
      <c r="B64" s="240" t="s">
        <v>13</v>
      </c>
      <c r="C64" s="11" t="s">
        <v>55</v>
      </c>
      <c r="D64" s="20" t="s">
        <v>38</v>
      </c>
      <c r="E64" s="76">
        <f>2.25*E63</f>
        <v>41.78</v>
      </c>
      <c r="F64" s="33">
        <v>0</v>
      </c>
      <c r="G64" s="15"/>
      <c r="H64" s="33">
        <f>F64*E64</f>
        <v>0</v>
      </c>
      <c r="I64" s="15"/>
      <c r="J64" s="1"/>
      <c r="K64" s="1"/>
      <c r="P64" s="1"/>
      <c r="Q64" s="1"/>
      <c r="R64" s="1"/>
      <c r="S64" s="1"/>
    </row>
    <row r="65" spans="1:19" ht="21.75" customHeight="1" x14ac:dyDescent="0.25">
      <c r="A65" s="29" t="s">
        <v>63</v>
      </c>
      <c r="B65" s="205" t="s">
        <v>13</v>
      </c>
      <c r="C65" s="11" t="s">
        <v>198</v>
      </c>
      <c r="D65" s="20" t="s">
        <v>58</v>
      </c>
      <c r="E65" s="20">
        <v>1.4</v>
      </c>
      <c r="F65" s="33">
        <v>0</v>
      </c>
      <c r="G65" s="15"/>
      <c r="H65" s="33">
        <f t="shared" ref="H65:H70" si="4">F65*E65</f>
        <v>0</v>
      </c>
      <c r="I65" s="15"/>
      <c r="J65" s="1"/>
      <c r="K65" s="1">
        <f>1.8*1.4</f>
        <v>2.52</v>
      </c>
      <c r="P65" s="1"/>
      <c r="Q65" s="1"/>
      <c r="R65" s="1"/>
      <c r="S65" s="1"/>
    </row>
    <row r="66" spans="1:19" x14ac:dyDescent="0.25">
      <c r="A66" s="29" t="s">
        <v>64</v>
      </c>
      <c r="B66" s="205" t="s">
        <v>13</v>
      </c>
      <c r="C66" s="11" t="s">
        <v>181</v>
      </c>
      <c r="D66" s="20" t="s">
        <v>58</v>
      </c>
      <c r="E66" s="20">
        <v>5.8</v>
      </c>
      <c r="F66" s="33">
        <v>0</v>
      </c>
      <c r="G66" s="15"/>
      <c r="H66" s="33">
        <f t="shared" si="4"/>
        <v>0</v>
      </c>
      <c r="I66" s="15"/>
      <c r="J66" s="1"/>
      <c r="K66" s="1">
        <f>2.2*E66</f>
        <v>12.76</v>
      </c>
      <c r="P66" s="1"/>
      <c r="Q66" s="1"/>
      <c r="R66" s="1"/>
      <c r="S66" s="1"/>
    </row>
    <row r="67" spans="1:19" x14ac:dyDescent="0.25">
      <c r="A67" s="29" t="s">
        <v>66</v>
      </c>
      <c r="B67" s="205" t="s">
        <v>13</v>
      </c>
      <c r="C67" s="11" t="s">
        <v>199</v>
      </c>
      <c r="D67" s="20" t="s">
        <v>14</v>
      </c>
      <c r="E67" s="20">
        <v>1</v>
      </c>
      <c r="F67" s="33">
        <v>0</v>
      </c>
      <c r="G67" s="15"/>
      <c r="H67" s="33">
        <f t="shared" si="4"/>
        <v>0</v>
      </c>
      <c r="I67" s="15"/>
      <c r="J67" s="1"/>
      <c r="K67" s="1">
        <f>1.1*E67</f>
        <v>1.1000000000000001</v>
      </c>
      <c r="M67" s="115">
        <v>0.5</v>
      </c>
      <c r="P67" s="1"/>
      <c r="Q67" s="1"/>
      <c r="R67" s="1"/>
      <c r="S67" s="1"/>
    </row>
    <row r="68" spans="1:19" x14ac:dyDescent="0.25">
      <c r="A68" s="29" t="s">
        <v>385</v>
      </c>
      <c r="B68" s="205" t="s">
        <v>13</v>
      </c>
      <c r="C68" s="11" t="s">
        <v>484</v>
      </c>
      <c r="D68" s="20" t="s">
        <v>14</v>
      </c>
      <c r="E68" s="20">
        <v>1</v>
      </c>
      <c r="F68" s="33">
        <v>0</v>
      </c>
      <c r="G68" s="15"/>
      <c r="H68" s="33">
        <f t="shared" si="4"/>
        <v>0</v>
      </c>
      <c r="I68" s="15"/>
      <c r="J68" s="1"/>
      <c r="K68" s="1">
        <f>0.31*E68</f>
        <v>0.31</v>
      </c>
      <c r="P68" s="1"/>
      <c r="Q68" s="1"/>
      <c r="R68" s="1"/>
      <c r="S68" s="1"/>
    </row>
    <row r="69" spans="1:19" x14ac:dyDescent="0.25">
      <c r="A69" s="29" t="s">
        <v>386</v>
      </c>
      <c r="B69" s="205" t="s">
        <v>13</v>
      </c>
      <c r="C69" s="11" t="s">
        <v>485</v>
      </c>
      <c r="D69" s="20" t="s">
        <v>14</v>
      </c>
      <c r="E69" s="20">
        <v>1</v>
      </c>
      <c r="F69" s="33">
        <v>0</v>
      </c>
      <c r="G69" s="15"/>
      <c r="H69" s="33">
        <f t="shared" si="4"/>
        <v>0</v>
      </c>
      <c r="I69" s="15"/>
      <c r="J69" s="1"/>
      <c r="K69" s="1">
        <f>0.38*E69</f>
        <v>0.38</v>
      </c>
      <c r="P69" s="1"/>
      <c r="Q69" s="1"/>
      <c r="R69" s="1"/>
      <c r="S69" s="1"/>
    </row>
    <row r="70" spans="1:19" x14ac:dyDescent="0.25">
      <c r="A70" s="29" t="s">
        <v>428</v>
      </c>
      <c r="B70" s="205" t="s">
        <v>13</v>
      </c>
      <c r="C70" s="11" t="s">
        <v>486</v>
      </c>
      <c r="D70" s="20" t="s">
        <v>14</v>
      </c>
      <c r="E70" s="20">
        <v>1</v>
      </c>
      <c r="F70" s="33">
        <v>0</v>
      </c>
      <c r="G70" s="15"/>
      <c r="H70" s="33">
        <f t="shared" si="4"/>
        <v>0</v>
      </c>
      <c r="I70" s="15"/>
      <c r="J70" s="1"/>
      <c r="K70" s="1">
        <f>0.3*E70</f>
        <v>0.3</v>
      </c>
      <c r="P70" s="1"/>
      <c r="Q70" s="1"/>
      <c r="R70" s="1"/>
      <c r="S70" s="1"/>
    </row>
    <row r="71" spans="1:19" ht="42.75" x14ac:dyDescent="0.25">
      <c r="A71" s="26" t="s">
        <v>32</v>
      </c>
      <c r="B71" s="228" t="s">
        <v>9</v>
      </c>
      <c r="C71" s="17" t="s">
        <v>285</v>
      </c>
      <c r="D71" s="19" t="s">
        <v>54</v>
      </c>
      <c r="E71" s="75">
        <v>16.53</v>
      </c>
      <c r="F71" s="33"/>
      <c r="G71" s="58">
        <v>0</v>
      </c>
      <c r="H71" s="33"/>
      <c r="I71" s="58">
        <f>E71*G71</f>
        <v>0</v>
      </c>
      <c r="J71" s="1"/>
      <c r="K71" s="1"/>
      <c r="P71" s="1"/>
      <c r="Q71" s="1"/>
      <c r="R71" s="1"/>
      <c r="S71" s="1"/>
    </row>
    <row r="72" spans="1:19" x14ac:dyDescent="0.25">
      <c r="A72" s="29" t="s">
        <v>33</v>
      </c>
      <c r="B72" s="205" t="s">
        <v>13</v>
      </c>
      <c r="C72" s="11" t="s">
        <v>55</v>
      </c>
      <c r="D72" s="20" t="s">
        <v>38</v>
      </c>
      <c r="E72" s="76">
        <f>2.25*E71</f>
        <v>37.19</v>
      </c>
      <c r="F72" s="33">
        <v>0</v>
      </c>
      <c r="G72" s="15"/>
      <c r="H72" s="33">
        <f t="shared" ref="H72:H77" si="5">E72*F72</f>
        <v>0</v>
      </c>
      <c r="I72" s="15"/>
      <c r="J72" s="1"/>
      <c r="K72" s="1"/>
      <c r="P72" s="1"/>
      <c r="Q72" s="1"/>
      <c r="R72" s="1"/>
      <c r="S72" s="1"/>
    </row>
    <row r="73" spans="1:19" ht="30" x14ac:dyDescent="0.25">
      <c r="A73" s="29" t="s">
        <v>34</v>
      </c>
      <c r="B73" s="205" t="s">
        <v>13</v>
      </c>
      <c r="C73" s="11" t="s">
        <v>184</v>
      </c>
      <c r="D73" s="20" t="s">
        <v>58</v>
      </c>
      <c r="E73" s="20">
        <v>2.5</v>
      </c>
      <c r="F73" s="33">
        <v>0</v>
      </c>
      <c r="G73" s="15"/>
      <c r="H73" s="33">
        <f t="shared" si="5"/>
        <v>0</v>
      </c>
      <c r="I73" s="15"/>
      <c r="J73" s="1"/>
      <c r="K73" s="1">
        <f>2.8*E73</f>
        <v>7</v>
      </c>
      <c r="P73" s="1"/>
      <c r="Q73" s="1"/>
      <c r="R73" s="1"/>
      <c r="S73" s="1"/>
    </row>
    <row r="74" spans="1:19" ht="30" x14ac:dyDescent="0.25">
      <c r="A74" s="29" t="s">
        <v>35</v>
      </c>
      <c r="B74" s="205" t="s">
        <v>13</v>
      </c>
      <c r="C74" s="11" t="s">
        <v>487</v>
      </c>
      <c r="D74" s="20" t="s">
        <v>58</v>
      </c>
      <c r="E74" s="20">
        <v>2</v>
      </c>
      <c r="F74" s="33">
        <v>0</v>
      </c>
      <c r="G74" s="15"/>
      <c r="H74" s="33">
        <f t="shared" si="5"/>
        <v>0</v>
      </c>
      <c r="I74" s="15"/>
      <c r="J74" s="1"/>
      <c r="K74" s="1">
        <f>3.2*E74</f>
        <v>6.4</v>
      </c>
      <c r="P74" s="1"/>
      <c r="Q74" s="1"/>
      <c r="R74" s="1"/>
      <c r="S74" s="1"/>
    </row>
    <row r="75" spans="1:19" x14ac:dyDescent="0.25">
      <c r="A75" s="29" t="s">
        <v>151</v>
      </c>
      <c r="B75" s="205" t="s">
        <v>13</v>
      </c>
      <c r="C75" s="70" t="s">
        <v>488</v>
      </c>
      <c r="D75" s="71" t="s">
        <v>14</v>
      </c>
      <c r="E75" s="71">
        <v>1</v>
      </c>
      <c r="F75" s="33">
        <v>0</v>
      </c>
      <c r="G75" s="15"/>
      <c r="H75" s="33">
        <f t="shared" si="5"/>
        <v>0</v>
      </c>
      <c r="I75" s="15"/>
      <c r="J75" s="1"/>
      <c r="K75" s="1">
        <f>E75*2.24</f>
        <v>2.2400000000000002</v>
      </c>
      <c r="M75" s="115">
        <v>0.7</v>
      </c>
      <c r="P75" s="1"/>
      <c r="Q75" s="1"/>
      <c r="R75" s="1"/>
      <c r="S75" s="1"/>
    </row>
    <row r="76" spans="1:19" x14ac:dyDescent="0.25">
      <c r="A76" s="29" t="s">
        <v>152</v>
      </c>
      <c r="B76" s="205" t="s">
        <v>13</v>
      </c>
      <c r="C76" s="11" t="s">
        <v>489</v>
      </c>
      <c r="D76" s="20" t="s">
        <v>14</v>
      </c>
      <c r="E76" s="20">
        <v>1</v>
      </c>
      <c r="F76" s="33">
        <v>0</v>
      </c>
      <c r="G76" s="15"/>
      <c r="H76" s="33">
        <f t="shared" si="5"/>
        <v>0</v>
      </c>
      <c r="I76" s="15"/>
      <c r="J76" s="1"/>
      <c r="K76" s="1">
        <f>E76*0.43</f>
        <v>0.43</v>
      </c>
      <c r="P76" s="1"/>
      <c r="Q76" s="1"/>
      <c r="R76" s="1"/>
      <c r="S76" s="1"/>
    </row>
    <row r="77" spans="1:19" x14ac:dyDescent="0.25">
      <c r="A77" s="29" t="s">
        <v>429</v>
      </c>
      <c r="B77" s="205" t="s">
        <v>13</v>
      </c>
      <c r="C77" s="11" t="s">
        <v>490</v>
      </c>
      <c r="D77" s="20" t="s">
        <v>14</v>
      </c>
      <c r="E77" s="20">
        <v>1</v>
      </c>
      <c r="F77" s="33">
        <v>0</v>
      </c>
      <c r="G77" s="15"/>
      <c r="H77" s="33">
        <f t="shared" si="5"/>
        <v>0</v>
      </c>
      <c r="I77" s="15"/>
      <c r="J77" s="1"/>
      <c r="K77" s="1">
        <f>0.46*E77</f>
        <v>0.46</v>
      </c>
      <c r="P77" s="1"/>
      <c r="Q77" s="1"/>
      <c r="R77" s="1"/>
      <c r="S77" s="1"/>
    </row>
    <row r="78" spans="1:19" ht="50.25" customHeight="1" x14ac:dyDescent="0.25">
      <c r="A78" s="26" t="s">
        <v>36</v>
      </c>
      <c r="B78" s="239" t="s">
        <v>9</v>
      </c>
      <c r="C78" s="17" t="s">
        <v>491</v>
      </c>
      <c r="D78" s="19" t="s">
        <v>54</v>
      </c>
      <c r="E78" s="19">
        <v>16.63</v>
      </c>
      <c r="F78" s="28"/>
      <c r="G78" s="58"/>
      <c r="H78" s="28"/>
      <c r="I78" s="58">
        <f>E78*G78</f>
        <v>0</v>
      </c>
      <c r="J78" s="1"/>
      <c r="K78" s="312"/>
      <c r="P78" s="1"/>
      <c r="Q78" s="1"/>
      <c r="R78" s="1"/>
      <c r="S78" s="1"/>
    </row>
    <row r="79" spans="1:19" x14ac:dyDescent="0.25">
      <c r="A79" s="29" t="s">
        <v>37</v>
      </c>
      <c r="B79" s="205" t="s">
        <v>13</v>
      </c>
      <c r="C79" s="11" t="s">
        <v>165</v>
      </c>
      <c r="D79" s="20" t="s">
        <v>38</v>
      </c>
      <c r="E79" s="20">
        <f>2.2*E78</f>
        <v>36.585999999999999</v>
      </c>
      <c r="F79" s="33">
        <v>0</v>
      </c>
      <c r="G79" s="15"/>
      <c r="H79" s="33">
        <f t="shared" ref="H79:H84" si="6">E79*F79</f>
        <v>0</v>
      </c>
      <c r="I79" s="15"/>
      <c r="J79" s="1"/>
      <c r="K79" s="1"/>
      <c r="P79" s="1"/>
      <c r="Q79" s="1"/>
      <c r="R79" s="1"/>
      <c r="S79" s="1"/>
    </row>
    <row r="80" spans="1:19" ht="30" x14ac:dyDescent="0.25">
      <c r="A80" s="29" t="s">
        <v>233</v>
      </c>
      <c r="B80" s="205" t="s">
        <v>13</v>
      </c>
      <c r="C80" s="11" t="s">
        <v>492</v>
      </c>
      <c r="D80" s="20" t="s">
        <v>58</v>
      </c>
      <c r="E80" s="20">
        <v>0.7</v>
      </c>
      <c r="F80" s="33">
        <v>0</v>
      </c>
      <c r="G80" s="15"/>
      <c r="H80" s="33">
        <f t="shared" si="6"/>
        <v>0</v>
      </c>
      <c r="I80" s="15"/>
      <c r="J80" s="1"/>
      <c r="K80" s="1">
        <f>4*E80</f>
        <v>2.8</v>
      </c>
      <c r="P80" s="1"/>
      <c r="Q80" s="1"/>
      <c r="R80" s="1"/>
      <c r="S80" s="1"/>
    </row>
    <row r="81" spans="1:19" ht="30" x14ac:dyDescent="0.25">
      <c r="A81" s="29" t="s">
        <v>239</v>
      </c>
      <c r="B81" s="205" t="s">
        <v>13</v>
      </c>
      <c r="C81" s="11" t="s">
        <v>493</v>
      </c>
      <c r="D81" s="20" t="s">
        <v>58</v>
      </c>
      <c r="E81" s="20">
        <v>1.9</v>
      </c>
      <c r="F81" s="33">
        <v>0</v>
      </c>
      <c r="G81" s="15"/>
      <c r="H81" s="33">
        <f t="shared" si="6"/>
        <v>0</v>
      </c>
      <c r="I81" s="15"/>
      <c r="J81" s="1"/>
      <c r="K81" s="1">
        <f>4*E81</f>
        <v>7.6</v>
      </c>
      <c r="P81" s="1"/>
      <c r="Q81" s="1"/>
      <c r="R81" s="1"/>
      <c r="S81" s="1"/>
    </row>
    <row r="82" spans="1:19" x14ac:dyDescent="0.25">
      <c r="A82" s="29" t="s">
        <v>497</v>
      </c>
      <c r="B82" s="205" t="s">
        <v>13</v>
      </c>
      <c r="C82" s="11" t="s">
        <v>494</v>
      </c>
      <c r="D82" s="20" t="s">
        <v>14</v>
      </c>
      <c r="E82" s="20">
        <v>1</v>
      </c>
      <c r="F82" s="33">
        <v>0</v>
      </c>
      <c r="G82" s="15"/>
      <c r="H82" s="33">
        <f t="shared" si="6"/>
        <v>0</v>
      </c>
      <c r="I82" s="15"/>
      <c r="J82" s="1"/>
      <c r="K82" s="1">
        <f>1.2*E82</f>
        <v>1.2</v>
      </c>
      <c r="P82" s="1"/>
      <c r="Q82" s="1"/>
      <c r="R82" s="1"/>
      <c r="S82" s="1"/>
    </row>
    <row r="83" spans="1:19" ht="30" x14ac:dyDescent="0.25">
      <c r="A83" s="29" t="s">
        <v>498</v>
      </c>
      <c r="B83" s="205" t="s">
        <v>13</v>
      </c>
      <c r="C83" s="11" t="s">
        <v>495</v>
      </c>
      <c r="D83" s="20" t="s">
        <v>14</v>
      </c>
      <c r="E83" s="20">
        <v>1</v>
      </c>
      <c r="F83" s="33">
        <v>0</v>
      </c>
      <c r="G83" s="15"/>
      <c r="H83" s="33">
        <f t="shared" si="6"/>
        <v>0</v>
      </c>
      <c r="I83" s="15"/>
      <c r="J83" s="1"/>
      <c r="K83" s="1">
        <f>4.33*E83</f>
        <v>4.33</v>
      </c>
      <c r="P83" s="1"/>
      <c r="Q83" s="1"/>
      <c r="R83" s="1"/>
      <c r="S83" s="1"/>
    </row>
    <row r="84" spans="1:19" ht="30" x14ac:dyDescent="0.25">
      <c r="A84" s="29" t="s">
        <v>499</v>
      </c>
      <c r="B84" s="205" t="s">
        <v>13</v>
      </c>
      <c r="C84" s="11" t="s">
        <v>496</v>
      </c>
      <c r="D84" s="20" t="s">
        <v>14</v>
      </c>
      <c r="E84" s="20">
        <v>1</v>
      </c>
      <c r="F84" s="33">
        <v>0</v>
      </c>
      <c r="G84" s="15"/>
      <c r="H84" s="33">
        <f t="shared" si="6"/>
        <v>0</v>
      </c>
      <c r="I84" s="15"/>
      <c r="J84" s="1"/>
      <c r="K84" s="312">
        <f>E84*0.7</f>
        <v>0.7</v>
      </c>
      <c r="P84" s="1"/>
      <c r="Q84" s="1"/>
      <c r="R84" s="1"/>
      <c r="S84" s="1"/>
    </row>
    <row r="85" spans="1:19" ht="28.5" x14ac:dyDescent="0.25">
      <c r="A85" s="26" t="s">
        <v>39</v>
      </c>
      <c r="B85" s="228" t="s">
        <v>189</v>
      </c>
      <c r="C85" s="17" t="s">
        <v>48</v>
      </c>
      <c r="D85" s="19" t="s">
        <v>14</v>
      </c>
      <c r="E85" s="328">
        <f>E86+E87+E88+E89</f>
        <v>11</v>
      </c>
      <c r="F85" s="28"/>
      <c r="G85" s="58">
        <v>0</v>
      </c>
      <c r="H85" s="28"/>
      <c r="I85" s="58">
        <f>E85*G85</f>
        <v>0</v>
      </c>
      <c r="J85" s="1"/>
      <c r="K85" s="1"/>
      <c r="P85" s="1"/>
      <c r="Q85" s="1"/>
      <c r="R85" s="1"/>
      <c r="S85" s="1"/>
    </row>
    <row r="86" spans="1:19" ht="30.75" customHeight="1" x14ac:dyDescent="0.25">
      <c r="A86" s="29" t="s">
        <v>40</v>
      </c>
      <c r="B86" s="205" t="s">
        <v>13</v>
      </c>
      <c r="C86" s="11" t="s">
        <v>186</v>
      </c>
      <c r="D86" s="20" t="s">
        <v>14</v>
      </c>
      <c r="E86" s="175">
        <v>2</v>
      </c>
      <c r="F86" s="33">
        <v>0</v>
      </c>
      <c r="G86" s="15"/>
      <c r="H86" s="33">
        <f>E86*F86</f>
        <v>0</v>
      </c>
      <c r="I86" s="15"/>
      <c r="J86" s="1"/>
      <c r="K86" s="1"/>
      <c r="P86" s="1"/>
      <c r="Q86" s="1"/>
      <c r="R86" s="1"/>
      <c r="S86" s="1"/>
    </row>
    <row r="87" spans="1:19" ht="30.75" customHeight="1" x14ac:dyDescent="0.25">
      <c r="A87" s="129" t="s">
        <v>41</v>
      </c>
      <c r="B87" s="205" t="s">
        <v>13</v>
      </c>
      <c r="C87" s="11" t="s">
        <v>201</v>
      </c>
      <c r="D87" s="20" t="s">
        <v>14</v>
      </c>
      <c r="E87" s="288">
        <v>2</v>
      </c>
      <c r="F87" s="186">
        <v>0</v>
      </c>
      <c r="G87" s="127"/>
      <c r="H87" s="186">
        <f>E87*F87</f>
        <v>0</v>
      </c>
      <c r="I87" s="127"/>
      <c r="J87" s="1"/>
      <c r="K87" s="1"/>
      <c r="P87" s="1"/>
      <c r="Q87" s="1"/>
      <c r="R87" s="1"/>
      <c r="S87" s="1"/>
    </row>
    <row r="88" spans="1:19" ht="29.25" customHeight="1" x14ac:dyDescent="0.25">
      <c r="A88" s="29" t="s">
        <v>500</v>
      </c>
      <c r="B88" s="205" t="s">
        <v>13</v>
      </c>
      <c r="C88" s="55" t="s">
        <v>187</v>
      </c>
      <c r="D88" s="94" t="s">
        <v>14</v>
      </c>
      <c r="E88" s="288">
        <v>3</v>
      </c>
      <c r="F88" s="186">
        <v>0</v>
      </c>
      <c r="G88" s="127"/>
      <c r="H88" s="186">
        <f>E88*F88</f>
        <v>0</v>
      </c>
      <c r="I88" s="127"/>
      <c r="J88" s="1"/>
      <c r="K88" s="1"/>
      <c r="P88" s="1"/>
      <c r="Q88" s="1"/>
      <c r="R88" s="1"/>
      <c r="S88" s="1"/>
    </row>
    <row r="89" spans="1:19" ht="30" x14ac:dyDescent="0.25">
      <c r="A89" s="129" t="s">
        <v>501</v>
      </c>
      <c r="B89" s="240" t="s">
        <v>13</v>
      </c>
      <c r="C89" s="55" t="s">
        <v>188</v>
      </c>
      <c r="D89" s="94" t="s">
        <v>57</v>
      </c>
      <c r="E89" s="94">
        <v>4</v>
      </c>
      <c r="F89" s="186">
        <v>0</v>
      </c>
      <c r="G89" s="127"/>
      <c r="H89" s="186">
        <f t="shared" ref="H89:H93" si="7">E89*F89</f>
        <v>0</v>
      </c>
      <c r="I89" s="127"/>
      <c r="J89" s="1"/>
      <c r="K89" s="1"/>
      <c r="P89" s="1"/>
      <c r="Q89" s="1"/>
      <c r="R89" s="1"/>
      <c r="S89" s="1"/>
    </row>
    <row r="90" spans="1:19" ht="33" customHeight="1" x14ac:dyDescent="0.25">
      <c r="A90" s="26" t="s">
        <v>242</v>
      </c>
      <c r="B90" s="239" t="s">
        <v>9</v>
      </c>
      <c r="C90" s="17" t="s">
        <v>137</v>
      </c>
      <c r="D90" s="19" t="s">
        <v>14</v>
      </c>
      <c r="E90" s="19">
        <v>190</v>
      </c>
      <c r="F90" s="28"/>
      <c r="G90" s="58">
        <v>0</v>
      </c>
      <c r="H90" s="28"/>
      <c r="I90" s="58">
        <f>E90*G90</f>
        <v>0</v>
      </c>
      <c r="J90" s="1"/>
      <c r="K90" s="1"/>
      <c r="P90" s="1"/>
      <c r="Q90" s="1"/>
      <c r="R90" s="1"/>
      <c r="S90" s="1"/>
    </row>
    <row r="91" spans="1:19" x14ac:dyDescent="0.25">
      <c r="A91" s="29" t="s">
        <v>42</v>
      </c>
      <c r="B91" s="205" t="s">
        <v>13</v>
      </c>
      <c r="C91" s="11" t="s">
        <v>191</v>
      </c>
      <c r="D91" s="20" t="s">
        <v>14</v>
      </c>
      <c r="E91" s="20">
        <v>190</v>
      </c>
      <c r="F91" s="33">
        <v>0</v>
      </c>
      <c r="G91" s="58"/>
      <c r="H91" s="186">
        <f t="shared" si="7"/>
        <v>0</v>
      </c>
      <c r="I91" s="58"/>
      <c r="J91" s="1"/>
      <c r="K91" s="1"/>
      <c r="P91" s="1"/>
      <c r="Q91" s="1"/>
      <c r="R91" s="1"/>
      <c r="S91" s="1"/>
    </row>
    <row r="92" spans="1:19" ht="28.5" x14ac:dyDescent="0.25">
      <c r="A92" s="26" t="s">
        <v>69</v>
      </c>
      <c r="B92" s="239" t="s">
        <v>9</v>
      </c>
      <c r="C92" s="17" t="s">
        <v>502</v>
      </c>
      <c r="D92" s="19" t="s">
        <v>14</v>
      </c>
      <c r="E92" s="19">
        <v>133</v>
      </c>
      <c r="F92" s="28"/>
      <c r="G92" s="58">
        <v>0</v>
      </c>
      <c r="H92" s="28"/>
      <c r="I92" s="58">
        <f>E92*G92</f>
        <v>0</v>
      </c>
      <c r="J92" s="1"/>
      <c r="K92" s="1"/>
      <c r="P92" s="1"/>
      <c r="Q92" s="1"/>
      <c r="R92" s="1"/>
      <c r="S92" s="1"/>
    </row>
    <row r="93" spans="1:19" x14ac:dyDescent="0.25">
      <c r="A93" s="129" t="s">
        <v>70</v>
      </c>
      <c r="B93" s="205" t="s">
        <v>13</v>
      </c>
      <c r="C93" s="11" t="s">
        <v>190</v>
      </c>
      <c r="D93" s="20" t="s">
        <v>14</v>
      </c>
      <c r="E93" s="20">
        <v>133</v>
      </c>
      <c r="F93" s="33">
        <v>0</v>
      </c>
      <c r="G93" s="15"/>
      <c r="H93" s="186">
        <f t="shared" si="7"/>
        <v>0</v>
      </c>
      <c r="I93" s="15"/>
      <c r="J93" s="1"/>
      <c r="K93" s="1"/>
      <c r="P93" s="1"/>
      <c r="Q93" s="1"/>
      <c r="R93" s="1"/>
      <c r="S93" s="1"/>
    </row>
    <row r="94" spans="1:19" ht="28.5" x14ac:dyDescent="0.25">
      <c r="A94" s="251">
        <v>12</v>
      </c>
      <c r="B94" s="239" t="s">
        <v>9</v>
      </c>
      <c r="C94" s="17" t="s">
        <v>503</v>
      </c>
      <c r="D94" s="19" t="s">
        <v>14</v>
      </c>
      <c r="E94" s="19">
        <v>1</v>
      </c>
      <c r="F94" s="28"/>
      <c r="G94" s="58">
        <v>0</v>
      </c>
      <c r="H94" s="28"/>
      <c r="I94" s="58">
        <f>E94*G94</f>
        <v>0</v>
      </c>
      <c r="J94" s="1"/>
      <c r="K94" s="1"/>
      <c r="P94" s="1"/>
      <c r="Q94" s="1"/>
      <c r="R94" s="1"/>
      <c r="S94" s="1"/>
    </row>
    <row r="95" spans="1:19" ht="45" x14ac:dyDescent="0.25">
      <c r="A95" s="29" t="s">
        <v>73</v>
      </c>
      <c r="B95" s="205" t="s">
        <v>13</v>
      </c>
      <c r="C95" s="11" t="s">
        <v>504</v>
      </c>
      <c r="D95" s="20" t="s">
        <v>14</v>
      </c>
      <c r="E95" s="20">
        <v>1</v>
      </c>
      <c r="F95" s="33">
        <v>0</v>
      </c>
      <c r="G95" s="15"/>
      <c r="H95" s="33">
        <f>E95*F95</f>
        <v>0</v>
      </c>
      <c r="I95" s="15"/>
      <c r="J95" s="1"/>
      <c r="K95" s="1"/>
      <c r="P95" s="1"/>
      <c r="Q95" s="1"/>
      <c r="R95" s="1"/>
      <c r="S95" s="1"/>
    </row>
    <row r="96" spans="1:19" x14ac:dyDescent="0.25">
      <c r="A96" s="26" t="s">
        <v>76</v>
      </c>
      <c r="B96" s="239" t="s">
        <v>9</v>
      </c>
      <c r="C96" s="17" t="s">
        <v>471</v>
      </c>
      <c r="D96" s="19" t="s">
        <v>472</v>
      </c>
      <c r="E96" s="19">
        <v>5</v>
      </c>
      <c r="F96" s="28"/>
      <c r="G96" s="58">
        <v>0</v>
      </c>
      <c r="H96" s="28"/>
      <c r="I96" s="58">
        <f>E96*G96</f>
        <v>0</v>
      </c>
      <c r="J96" s="1"/>
      <c r="K96" s="1"/>
      <c r="P96" s="1"/>
      <c r="Q96" s="1"/>
      <c r="R96" s="1"/>
      <c r="S96" s="1"/>
    </row>
    <row r="97" spans="1:19" ht="28.5" x14ac:dyDescent="0.25">
      <c r="A97" s="26" t="s">
        <v>78</v>
      </c>
      <c r="B97" s="239" t="s">
        <v>9</v>
      </c>
      <c r="C97" s="17" t="s">
        <v>211</v>
      </c>
      <c r="D97" s="19" t="s">
        <v>54</v>
      </c>
      <c r="E97" s="19">
        <v>1073.9000000000001</v>
      </c>
      <c r="F97" s="28"/>
      <c r="G97" s="58">
        <v>0</v>
      </c>
      <c r="H97" s="28"/>
      <c r="I97" s="58">
        <f>E97*G97</f>
        <v>0</v>
      </c>
      <c r="J97" s="1"/>
      <c r="K97" s="1"/>
      <c r="P97" s="1"/>
      <c r="Q97" s="1"/>
      <c r="R97" s="1"/>
      <c r="S97" s="1"/>
    </row>
    <row r="98" spans="1:19" x14ac:dyDescent="0.25">
      <c r="A98" s="130" t="s">
        <v>79</v>
      </c>
      <c r="B98" s="206" t="s">
        <v>13</v>
      </c>
      <c r="C98" s="188" t="s">
        <v>209</v>
      </c>
      <c r="D98" s="90" t="s">
        <v>54</v>
      </c>
      <c r="E98" s="90">
        <f>1.1*E97</f>
        <v>1181.29</v>
      </c>
      <c r="F98" s="62">
        <v>0</v>
      </c>
      <c r="G98" s="119"/>
      <c r="H98" s="62">
        <f>E98*F98</f>
        <v>0</v>
      </c>
      <c r="I98" s="119"/>
      <c r="J98" s="1"/>
      <c r="K98" s="1"/>
      <c r="P98" s="1"/>
      <c r="Q98" s="1"/>
      <c r="R98" s="1"/>
      <c r="S98" s="1"/>
    </row>
    <row r="99" spans="1:19" x14ac:dyDescent="0.25">
      <c r="A99" s="130" t="s">
        <v>392</v>
      </c>
      <c r="B99" s="206" t="s">
        <v>13</v>
      </c>
      <c r="C99" s="188" t="s">
        <v>210</v>
      </c>
      <c r="D99" s="90" t="s">
        <v>38</v>
      </c>
      <c r="E99" s="90">
        <f>0.7*E97</f>
        <v>751.73</v>
      </c>
      <c r="F99" s="62">
        <v>0</v>
      </c>
      <c r="G99" s="119"/>
      <c r="H99" s="62">
        <f>E99*F99</f>
        <v>0</v>
      </c>
      <c r="I99" s="119"/>
      <c r="J99" s="1"/>
      <c r="K99" s="1"/>
      <c r="P99" s="1"/>
      <c r="Q99" s="1"/>
      <c r="R99" s="1"/>
      <c r="S99" s="1"/>
    </row>
    <row r="100" spans="1:19" ht="21.75" customHeight="1" x14ac:dyDescent="0.25">
      <c r="A100" s="173" t="s">
        <v>80</v>
      </c>
      <c r="B100" s="252" t="s">
        <v>9</v>
      </c>
      <c r="C100" s="250" t="s">
        <v>202</v>
      </c>
      <c r="D100" s="88" t="s">
        <v>54</v>
      </c>
      <c r="E100" s="88">
        <v>9</v>
      </c>
      <c r="F100" s="150"/>
      <c r="G100" s="65">
        <v>0</v>
      </c>
      <c r="H100" s="150"/>
      <c r="I100" s="65">
        <f>E100*G100</f>
        <v>0</v>
      </c>
      <c r="J100" s="1"/>
      <c r="K100" s="1"/>
      <c r="P100" s="1"/>
      <c r="Q100" s="1"/>
      <c r="R100" s="1"/>
      <c r="S100" s="1"/>
    </row>
    <row r="101" spans="1:19" x14ac:dyDescent="0.25">
      <c r="A101" s="130" t="s">
        <v>81</v>
      </c>
      <c r="B101" s="206" t="s">
        <v>13</v>
      </c>
      <c r="C101" s="188" t="s">
        <v>203</v>
      </c>
      <c r="D101" s="90" t="s">
        <v>54</v>
      </c>
      <c r="E101" s="90">
        <v>9</v>
      </c>
      <c r="F101" s="62">
        <v>0</v>
      </c>
      <c r="G101" s="119"/>
      <c r="H101" s="62">
        <f>E101*F101</f>
        <v>0</v>
      </c>
      <c r="I101" s="119"/>
      <c r="J101" s="1"/>
      <c r="K101" s="1"/>
      <c r="P101" s="1"/>
      <c r="Q101" s="1"/>
      <c r="R101" s="1"/>
      <c r="S101" s="1"/>
    </row>
    <row r="102" spans="1:19" ht="30.75" thickBot="1" x14ac:dyDescent="0.3">
      <c r="A102" s="129" t="s">
        <v>82</v>
      </c>
      <c r="B102" s="240" t="s">
        <v>13</v>
      </c>
      <c r="C102" s="55" t="s">
        <v>204</v>
      </c>
      <c r="D102" s="94" t="s">
        <v>54</v>
      </c>
      <c r="E102" s="94">
        <v>9</v>
      </c>
      <c r="F102" s="186">
        <v>0</v>
      </c>
      <c r="G102" s="127"/>
      <c r="H102" s="186">
        <f>E102*F102</f>
        <v>0</v>
      </c>
      <c r="I102" s="127"/>
      <c r="J102" s="1"/>
      <c r="K102" s="1"/>
      <c r="P102" s="1"/>
      <c r="Q102" s="1"/>
      <c r="R102" s="1"/>
      <c r="S102" s="1"/>
    </row>
    <row r="103" spans="1:19" ht="15.75" thickBot="1" x14ac:dyDescent="0.3">
      <c r="A103" s="83"/>
      <c r="B103" s="313"/>
      <c r="C103" s="268" t="s">
        <v>417</v>
      </c>
      <c r="D103" s="48"/>
      <c r="E103" s="48"/>
      <c r="F103" s="132"/>
      <c r="G103" s="52"/>
      <c r="H103" s="99">
        <f>SUM(H24:H102)</f>
        <v>0</v>
      </c>
      <c r="I103" s="86">
        <f>SUM(I23:I102)</f>
        <v>0</v>
      </c>
      <c r="J103" s="1"/>
      <c r="K103" s="1"/>
      <c r="P103" s="1"/>
      <c r="Q103" s="1"/>
      <c r="R103" s="1"/>
      <c r="S103" s="1"/>
    </row>
    <row r="104" spans="1:19" ht="15.75" thickBot="1" x14ac:dyDescent="0.3">
      <c r="A104" s="83"/>
      <c r="B104" s="207"/>
      <c r="C104" s="47" t="s">
        <v>306</v>
      </c>
      <c r="D104" s="48"/>
      <c r="E104" s="48"/>
      <c r="F104" s="132"/>
      <c r="G104" s="52"/>
      <c r="H104" s="132"/>
      <c r="I104" s="52"/>
      <c r="J104" s="1"/>
      <c r="K104" s="1"/>
      <c r="P104" s="1"/>
      <c r="Q104" s="1"/>
      <c r="R104" s="1"/>
      <c r="S104" s="1"/>
    </row>
    <row r="105" spans="1:19" ht="44.25" customHeight="1" x14ac:dyDescent="0.25">
      <c r="A105" s="67" t="s">
        <v>86</v>
      </c>
      <c r="B105" s="204" t="s">
        <v>9</v>
      </c>
      <c r="C105" s="68" t="s">
        <v>53</v>
      </c>
      <c r="D105" s="69" t="s">
        <v>54</v>
      </c>
      <c r="E105" s="69">
        <v>132.25</v>
      </c>
      <c r="F105" s="96"/>
      <c r="G105" s="42">
        <v>0</v>
      </c>
      <c r="H105" s="96"/>
      <c r="I105" s="42">
        <f>E105*G105</f>
        <v>0</v>
      </c>
      <c r="J105" s="1"/>
      <c r="K105" s="1"/>
      <c r="P105" s="1"/>
      <c r="Q105" s="1"/>
      <c r="R105" s="1"/>
      <c r="S105" s="1"/>
    </row>
    <row r="106" spans="1:19" x14ac:dyDescent="0.25">
      <c r="A106" s="29" t="s">
        <v>87</v>
      </c>
      <c r="B106" s="205" t="s">
        <v>13</v>
      </c>
      <c r="C106" s="70" t="s">
        <v>55</v>
      </c>
      <c r="D106" s="71" t="s">
        <v>38</v>
      </c>
      <c r="E106" s="72">
        <f>0.606*E105</f>
        <v>80.14</v>
      </c>
      <c r="F106" s="33">
        <v>0</v>
      </c>
      <c r="G106" s="15"/>
      <c r="H106" s="33">
        <f>E106*F106</f>
        <v>0</v>
      </c>
      <c r="I106" s="15"/>
      <c r="J106" s="1"/>
      <c r="K106" s="1"/>
      <c r="P106" s="1"/>
      <c r="Q106" s="1"/>
      <c r="R106" s="1"/>
      <c r="S106" s="1"/>
    </row>
    <row r="107" spans="1:19" x14ac:dyDescent="0.25">
      <c r="A107" s="29" t="s">
        <v>396</v>
      </c>
      <c r="B107" s="205" t="s">
        <v>13</v>
      </c>
      <c r="C107" s="70" t="s">
        <v>56</v>
      </c>
      <c r="D107" s="71" t="s">
        <v>58</v>
      </c>
      <c r="E107" s="71">
        <v>251.4</v>
      </c>
      <c r="F107" s="33">
        <v>0</v>
      </c>
      <c r="G107" s="15"/>
      <c r="H107" s="33">
        <f>E107*F107</f>
        <v>0</v>
      </c>
      <c r="I107" s="15"/>
      <c r="J107" s="1"/>
      <c r="K107" s="1">
        <v>78.98</v>
      </c>
      <c r="P107" s="1"/>
      <c r="Q107" s="1"/>
      <c r="R107" s="1"/>
      <c r="S107" s="1"/>
    </row>
    <row r="108" spans="1:19" ht="30" x14ac:dyDescent="0.25">
      <c r="A108" s="29" t="s">
        <v>398</v>
      </c>
      <c r="B108" s="205" t="s">
        <v>13</v>
      </c>
      <c r="C108" s="128" t="s">
        <v>172</v>
      </c>
      <c r="D108" s="71" t="s">
        <v>14</v>
      </c>
      <c r="E108" s="71">
        <v>151</v>
      </c>
      <c r="F108" s="33">
        <v>0</v>
      </c>
      <c r="G108" s="15"/>
      <c r="H108" s="33">
        <f t="shared" ref="H108:H109" si="8">E108*F108</f>
        <v>0</v>
      </c>
      <c r="I108" s="15"/>
      <c r="J108" s="1"/>
      <c r="K108" s="1">
        <f>E108*0.05</f>
        <v>7.55</v>
      </c>
      <c r="P108" s="1"/>
      <c r="Q108" s="1"/>
      <c r="R108" s="1"/>
      <c r="S108" s="1"/>
    </row>
    <row r="109" spans="1:19" ht="30" x14ac:dyDescent="0.25">
      <c r="A109" s="29" t="s">
        <v>397</v>
      </c>
      <c r="B109" s="205" t="s">
        <v>13</v>
      </c>
      <c r="C109" s="128" t="s">
        <v>173</v>
      </c>
      <c r="D109" s="71" t="s">
        <v>14</v>
      </c>
      <c r="E109" s="71">
        <v>132</v>
      </c>
      <c r="F109" s="33">
        <v>0</v>
      </c>
      <c r="G109" s="15"/>
      <c r="H109" s="33">
        <f t="shared" si="8"/>
        <v>0</v>
      </c>
      <c r="I109" s="15"/>
      <c r="J109" s="1"/>
      <c r="K109" s="1">
        <f>E109*0.06</f>
        <v>7.92</v>
      </c>
      <c r="P109" s="1"/>
      <c r="Q109" s="1"/>
      <c r="R109" s="1"/>
      <c r="S109" s="1"/>
    </row>
    <row r="110" spans="1:19" x14ac:dyDescent="0.25">
      <c r="A110" s="29" t="s">
        <v>399</v>
      </c>
      <c r="B110" s="205" t="s">
        <v>13</v>
      </c>
      <c r="C110" s="128" t="s">
        <v>442</v>
      </c>
      <c r="D110" s="71" t="s">
        <v>14</v>
      </c>
      <c r="E110" s="71">
        <v>378</v>
      </c>
      <c r="F110" s="33">
        <v>0</v>
      </c>
      <c r="G110" s="15"/>
      <c r="H110" s="33">
        <f>E110*F110</f>
        <v>0</v>
      </c>
      <c r="I110" s="15"/>
      <c r="J110" s="1"/>
      <c r="K110" s="1">
        <f>E110*0.1</f>
        <v>37.799999999999997</v>
      </c>
      <c r="P110" s="1"/>
      <c r="Q110" s="1"/>
      <c r="R110" s="1"/>
      <c r="S110" s="1"/>
    </row>
    <row r="111" spans="1:19" ht="46.5" customHeight="1" x14ac:dyDescent="0.25">
      <c r="A111" s="26" t="s">
        <v>88</v>
      </c>
      <c r="B111" s="228" t="s">
        <v>9</v>
      </c>
      <c r="C111" s="74" t="s">
        <v>153</v>
      </c>
      <c r="D111" s="75" t="s">
        <v>54</v>
      </c>
      <c r="E111" s="75">
        <v>194.81</v>
      </c>
      <c r="F111" s="28"/>
      <c r="G111" s="58">
        <v>0</v>
      </c>
      <c r="H111" s="28"/>
      <c r="I111" s="58">
        <f>E111*G111</f>
        <v>0</v>
      </c>
      <c r="J111" s="1"/>
      <c r="K111" s="1"/>
      <c r="P111" s="1"/>
      <c r="Q111" s="1"/>
      <c r="R111" s="1"/>
      <c r="S111" s="1"/>
    </row>
    <row r="112" spans="1:19" ht="23.25" customHeight="1" x14ac:dyDescent="0.25">
      <c r="A112" s="29" t="s">
        <v>89</v>
      </c>
      <c r="B112" s="205" t="s">
        <v>13</v>
      </c>
      <c r="C112" s="70" t="s">
        <v>55</v>
      </c>
      <c r="D112" s="71" t="s">
        <v>38</v>
      </c>
      <c r="E112" s="72">
        <f>0.606*E111</f>
        <v>118.05</v>
      </c>
      <c r="F112" s="33">
        <v>0</v>
      </c>
      <c r="G112" s="15"/>
      <c r="H112" s="33">
        <f t="shared" ref="H112:H116" si="9">E112*F112</f>
        <v>0</v>
      </c>
      <c r="I112" s="15"/>
      <c r="J112" s="1"/>
      <c r="K112" s="1"/>
      <c r="P112" s="1"/>
      <c r="Q112" s="1"/>
      <c r="R112" s="1"/>
      <c r="S112" s="1"/>
    </row>
    <row r="113" spans="1:19" x14ac:dyDescent="0.25">
      <c r="A113" s="29" t="s">
        <v>90</v>
      </c>
      <c r="B113" s="205" t="s">
        <v>13</v>
      </c>
      <c r="C113" s="70" t="s">
        <v>155</v>
      </c>
      <c r="D113" s="71" t="s">
        <v>58</v>
      </c>
      <c r="E113" s="71">
        <v>503</v>
      </c>
      <c r="F113" s="33">
        <v>0</v>
      </c>
      <c r="G113" s="15"/>
      <c r="H113" s="33">
        <f t="shared" si="9"/>
        <v>0</v>
      </c>
      <c r="I113" s="15"/>
      <c r="J113" s="1"/>
      <c r="K113" s="1">
        <v>158.02000000000001</v>
      </c>
      <c r="P113" s="1"/>
      <c r="Q113" s="1"/>
      <c r="R113" s="1"/>
      <c r="S113" s="1"/>
    </row>
    <row r="114" spans="1:19" x14ac:dyDescent="0.25">
      <c r="A114" s="29" t="s">
        <v>91</v>
      </c>
      <c r="B114" s="205" t="s">
        <v>13</v>
      </c>
      <c r="C114" s="70" t="s">
        <v>158</v>
      </c>
      <c r="D114" s="71" t="s">
        <v>14</v>
      </c>
      <c r="E114" s="71">
        <v>283</v>
      </c>
      <c r="F114" s="33">
        <v>0</v>
      </c>
      <c r="G114" s="15"/>
      <c r="H114" s="33">
        <f t="shared" si="9"/>
        <v>0</v>
      </c>
      <c r="I114" s="15"/>
      <c r="J114" s="1"/>
      <c r="K114" s="1">
        <f>E114*0.03</f>
        <v>8.49</v>
      </c>
      <c r="P114" s="1"/>
      <c r="Q114" s="1"/>
      <c r="R114" s="1"/>
      <c r="S114" s="1"/>
    </row>
    <row r="115" spans="1:19" x14ac:dyDescent="0.25">
      <c r="A115" s="29" t="s">
        <v>400</v>
      </c>
      <c r="B115" s="205" t="s">
        <v>13</v>
      </c>
      <c r="C115" s="70" t="s">
        <v>441</v>
      </c>
      <c r="D115" s="71" t="s">
        <v>14</v>
      </c>
      <c r="E115" s="71">
        <v>283</v>
      </c>
      <c r="F115" s="33">
        <v>0</v>
      </c>
      <c r="G115" s="15"/>
      <c r="H115" s="33">
        <f t="shared" si="9"/>
        <v>0</v>
      </c>
      <c r="I115" s="15"/>
      <c r="J115" s="1"/>
      <c r="K115" s="1">
        <f>E115*0.1</f>
        <v>28.3</v>
      </c>
      <c r="P115" s="1"/>
      <c r="Q115" s="1"/>
      <c r="R115" s="1"/>
      <c r="S115" s="1"/>
    </row>
    <row r="116" spans="1:19" ht="28.5" customHeight="1" x14ac:dyDescent="0.25">
      <c r="A116" s="29" t="s">
        <v>401</v>
      </c>
      <c r="B116" s="205" t="s">
        <v>13</v>
      </c>
      <c r="C116" s="11" t="s">
        <v>156</v>
      </c>
      <c r="D116" s="20" t="s">
        <v>14</v>
      </c>
      <c r="E116" s="20">
        <v>283</v>
      </c>
      <c r="F116" s="33">
        <v>0</v>
      </c>
      <c r="G116" s="15"/>
      <c r="H116" s="33">
        <f t="shared" si="9"/>
        <v>0</v>
      </c>
      <c r="I116" s="15"/>
      <c r="J116" s="1"/>
      <c r="K116" s="1"/>
      <c r="P116" s="1"/>
      <c r="Q116" s="1"/>
      <c r="R116" s="1"/>
      <c r="S116" s="1"/>
    </row>
    <row r="117" spans="1:19" ht="42.75" x14ac:dyDescent="0.25">
      <c r="A117" s="26" t="s">
        <v>92</v>
      </c>
      <c r="B117" s="239" t="s">
        <v>9</v>
      </c>
      <c r="C117" s="250" t="s">
        <v>157</v>
      </c>
      <c r="D117" s="19" t="s">
        <v>54</v>
      </c>
      <c r="E117" s="19">
        <v>175.73</v>
      </c>
      <c r="F117" s="28"/>
      <c r="G117" s="58">
        <v>0</v>
      </c>
      <c r="H117" s="28"/>
      <c r="I117" s="58">
        <f>E117*G117</f>
        <v>0</v>
      </c>
      <c r="J117" s="1"/>
      <c r="K117" s="1">
        <f>K119+K120+K121+K122+K123+K124</f>
        <v>175.73</v>
      </c>
      <c r="P117" s="1"/>
      <c r="Q117" s="1"/>
      <c r="R117" s="1"/>
      <c r="S117" s="1"/>
    </row>
    <row r="118" spans="1:19" x14ac:dyDescent="0.25">
      <c r="A118" s="29" t="s">
        <v>93</v>
      </c>
      <c r="B118" s="205" t="s">
        <v>13</v>
      </c>
      <c r="C118" s="188" t="s">
        <v>165</v>
      </c>
      <c r="D118" s="20" t="s">
        <v>38</v>
      </c>
      <c r="E118" s="76">
        <f>0.712*E117</f>
        <v>125.12</v>
      </c>
      <c r="F118" s="33">
        <v>0</v>
      </c>
      <c r="G118" s="15"/>
      <c r="H118" s="33">
        <f t="shared" ref="H118:H124" si="10">E118*F118</f>
        <v>0</v>
      </c>
      <c r="I118" s="15"/>
      <c r="J118" s="1"/>
      <c r="K118" s="1"/>
      <c r="P118" s="1"/>
      <c r="Q118" s="1"/>
      <c r="R118" s="1"/>
      <c r="S118" s="1"/>
    </row>
    <row r="119" spans="1:19" x14ac:dyDescent="0.25">
      <c r="A119" s="29" t="s">
        <v>94</v>
      </c>
      <c r="B119" s="205" t="s">
        <v>13</v>
      </c>
      <c r="C119" s="188" t="s">
        <v>160</v>
      </c>
      <c r="D119" s="20" t="s">
        <v>58</v>
      </c>
      <c r="E119" s="20">
        <v>3.1</v>
      </c>
      <c r="F119" s="33">
        <v>0</v>
      </c>
      <c r="G119" s="15"/>
      <c r="H119" s="33">
        <f t="shared" si="10"/>
        <v>0</v>
      </c>
      <c r="I119" s="15"/>
      <c r="J119" s="1"/>
      <c r="K119" s="1">
        <f>0.8*3.1</f>
        <v>2.48</v>
      </c>
      <c r="P119" s="1"/>
      <c r="Q119" s="1"/>
      <c r="R119" s="1"/>
      <c r="S119" s="1"/>
    </row>
    <row r="120" spans="1:19" x14ac:dyDescent="0.25">
      <c r="A120" s="29" t="s">
        <v>95</v>
      </c>
      <c r="B120" s="205" t="s">
        <v>13</v>
      </c>
      <c r="C120" s="188" t="s">
        <v>161</v>
      </c>
      <c r="D120" s="20" t="s">
        <v>58</v>
      </c>
      <c r="E120" s="20">
        <v>212.3</v>
      </c>
      <c r="F120" s="33">
        <v>0</v>
      </c>
      <c r="G120" s="15"/>
      <c r="H120" s="33">
        <f t="shared" si="10"/>
        <v>0</v>
      </c>
      <c r="I120" s="15"/>
      <c r="J120" s="1"/>
      <c r="K120" s="1">
        <f>0.8*E120</f>
        <v>169.84</v>
      </c>
      <c r="P120" s="1"/>
      <c r="Q120" s="1"/>
      <c r="R120" s="1"/>
      <c r="S120" s="1"/>
    </row>
    <row r="121" spans="1:19" x14ac:dyDescent="0.25">
      <c r="A121" s="29" t="s">
        <v>408</v>
      </c>
      <c r="B121" s="205" t="s">
        <v>13</v>
      </c>
      <c r="C121" s="188" t="s">
        <v>162</v>
      </c>
      <c r="D121" s="20" t="s">
        <v>14</v>
      </c>
      <c r="E121" s="20">
        <v>3</v>
      </c>
      <c r="F121" s="33">
        <v>0</v>
      </c>
      <c r="G121" s="15"/>
      <c r="H121" s="33">
        <f t="shared" si="10"/>
        <v>0</v>
      </c>
      <c r="I121" s="15"/>
      <c r="J121" s="1"/>
      <c r="K121" s="1">
        <f>0.4*E121</f>
        <v>1.2</v>
      </c>
      <c r="P121" s="1"/>
      <c r="Q121" s="1"/>
      <c r="R121" s="1"/>
      <c r="S121" s="1"/>
    </row>
    <row r="122" spans="1:19" ht="30" x14ac:dyDescent="0.25">
      <c r="A122" s="29" t="s">
        <v>409</v>
      </c>
      <c r="B122" s="205" t="s">
        <v>13</v>
      </c>
      <c r="C122" s="188" t="s">
        <v>163</v>
      </c>
      <c r="D122" s="20" t="s">
        <v>14</v>
      </c>
      <c r="E122" s="20">
        <v>1</v>
      </c>
      <c r="F122" s="33">
        <v>0</v>
      </c>
      <c r="G122" s="15"/>
      <c r="H122" s="33">
        <f t="shared" si="10"/>
        <v>0</v>
      </c>
      <c r="I122" s="15"/>
      <c r="J122" s="1"/>
      <c r="K122" s="1">
        <f>0.33*E122</f>
        <v>0.33</v>
      </c>
      <c r="P122" s="1"/>
      <c r="Q122" s="1"/>
      <c r="R122" s="1"/>
      <c r="S122" s="1"/>
    </row>
    <row r="123" spans="1:19" x14ac:dyDescent="0.25">
      <c r="A123" s="29" t="s">
        <v>410</v>
      </c>
      <c r="B123" s="205" t="s">
        <v>13</v>
      </c>
      <c r="C123" s="188" t="s">
        <v>171</v>
      </c>
      <c r="D123" s="20" t="s">
        <v>14</v>
      </c>
      <c r="E123" s="20">
        <v>4</v>
      </c>
      <c r="F123" s="33">
        <v>0</v>
      </c>
      <c r="G123" s="15"/>
      <c r="H123" s="33">
        <f t="shared" si="10"/>
        <v>0</v>
      </c>
      <c r="I123" s="15"/>
      <c r="J123" s="1"/>
      <c r="K123" s="1">
        <f>0.08*E123</f>
        <v>0.32</v>
      </c>
      <c r="P123" s="1"/>
      <c r="Q123" s="1"/>
      <c r="R123" s="1"/>
      <c r="S123" s="1"/>
    </row>
    <row r="124" spans="1:19" ht="28.5" customHeight="1" x14ac:dyDescent="0.25">
      <c r="A124" s="29" t="s">
        <v>411</v>
      </c>
      <c r="B124" s="205" t="s">
        <v>13</v>
      </c>
      <c r="C124" s="188" t="s">
        <v>164</v>
      </c>
      <c r="D124" s="20" t="s">
        <v>14</v>
      </c>
      <c r="E124" s="20">
        <v>4</v>
      </c>
      <c r="F124" s="33">
        <v>0</v>
      </c>
      <c r="G124" s="15"/>
      <c r="H124" s="33">
        <f t="shared" si="10"/>
        <v>0</v>
      </c>
      <c r="I124" s="15"/>
      <c r="J124" s="1"/>
      <c r="K124" s="1">
        <f>0.39*E124</f>
        <v>1.56</v>
      </c>
      <c r="P124" s="1"/>
      <c r="Q124" s="1"/>
      <c r="R124" s="1"/>
      <c r="S124" s="1"/>
    </row>
    <row r="125" spans="1:19" s="276" customFormat="1" ht="42.75" x14ac:dyDescent="0.25">
      <c r="A125" s="315" t="s">
        <v>96</v>
      </c>
      <c r="B125" s="316" t="s">
        <v>9</v>
      </c>
      <c r="C125" s="74" t="s">
        <v>166</v>
      </c>
      <c r="D125" s="75" t="s">
        <v>54</v>
      </c>
      <c r="E125" s="75">
        <f>E127+E128+E129+E130+7.28</f>
        <v>501.67</v>
      </c>
      <c r="F125" s="317"/>
      <c r="G125" s="318">
        <v>0</v>
      </c>
      <c r="H125" s="317"/>
      <c r="I125" s="318">
        <f>E125*G125</f>
        <v>0</v>
      </c>
      <c r="L125" s="314"/>
      <c r="M125" s="314"/>
      <c r="N125" s="314"/>
      <c r="O125" s="314"/>
    </row>
    <row r="126" spans="1:19" x14ac:dyDescent="0.25">
      <c r="A126" s="29" t="s">
        <v>97</v>
      </c>
      <c r="B126" s="205" t="s">
        <v>13</v>
      </c>
      <c r="C126" s="11" t="s">
        <v>55</v>
      </c>
      <c r="D126" s="20" t="s">
        <v>38</v>
      </c>
      <c r="E126" s="76">
        <f>1.22*E125</f>
        <v>612.04</v>
      </c>
      <c r="F126" s="33">
        <v>0</v>
      </c>
      <c r="G126" s="15"/>
      <c r="H126" s="33">
        <f t="shared" ref="H126:H136" si="11">E126*F126</f>
        <v>0</v>
      </c>
      <c r="I126" s="15"/>
      <c r="J126" s="1"/>
      <c r="K126" s="1"/>
      <c r="P126" s="1"/>
      <c r="Q126" s="1"/>
      <c r="R126" s="1"/>
      <c r="S126" s="1"/>
    </row>
    <row r="127" spans="1:19" x14ac:dyDescent="0.25">
      <c r="A127" s="29" t="s">
        <v>98</v>
      </c>
      <c r="B127" s="205" t="s">
        <v>13</v>
      </c>
      <c r="C127" s="11" t="s">
        <v>167</v>
      </c>
      <c r="D127" s="20" t="s">
        <v>58</v>
      </c>
      <c r="E127" s="20">
        <f>1.3*212.3</f>
        <v>275.99</v>
      </c>
      <c r="F127" s="33">
        <v>0</v>
      </c>
      <c r="G127" s="15"/>
      <c r="H127" s="33">
        <f t="shared" si="11"/>
        <v>0</v>
      </c>
      <c r="I127" s="15"/>
      <c r="J127" s="1"/>
      <c r="K127" s="1"/>
      <c r="P127" s="1"/>
      <c r="Q127" s="1"/>
      <c r="R127" s="1"/>
      <c r="S127" s="1"/>
    </row>
    <row r="128" spans="1:19" x14ac:dyDescent="0.25">
      <c r="A128" s="29" t="s">
        <v>414</v>
      </c>
      <c r="B128" s="205" t="s">
        <v>13</v>
      </c>
      <c r="C128" s="11" t="s">
        <v>505</v>
      </c>
      <c r="D128" s="20" t="s">
        <v>58</v>
      </c>
      <c r="E128" s="71">
        <f>2*107.7</f>
        <v>215.4</v>
      </c>
      <c r="F128" s="33">
        <v>0</v>
      </c>
      <c r="G128" s="15"/>
      <c r="H128" s="33">
        <f t="shared" si="11"/>
        <v>0</v>
      </c>
      <c r="I128" s="15"/>
      <c r="J128" s="1"/>
      <c r="K128" s="1"/>
      <c r="P128" s="1"/>
      <c r="Q128" s="1"/>
      <c r="R128" s="1"/>
      <c r="S128" s="1"/>
    </row>
    <row r="129" spans="1:19" x14ac:dyDescent="0.25">
      <c r="A129" s="29" t="s">
        <v>412</v>
      </c>
      <c r="B129" s="205" t="s">
        <v>13</v>
      </c>
      <c r="C129" s="11" t="s">
        <v>169</v>
      </c>
      <c r="D129" s="20" t="s">
        <v>58</v>
      </c>
      <c r="E129" s="20">
        <f>1.3*1.2</f>
        <v>1.56</v>
      </c>
      <c r="F129" s="33">
        <v>0</v>
      </c>
      <c r="G129" s="15"/>
      <c r="H129" s="33">
        <f t="shared" si="11"/>
        <v>0</v>
      </c>
      <c r="I129" s="15"/>
      <c r="J129" s="1"/>
      <c r="K129" s="1"/>
      <c r="P129" s="1"/>
      <c r="Q129" s="1"/>
      <c r="R129" s="1"/>
      <c r="S129" s="1"/>
    </row>
    <row r="130" spans="1:19" x14ac:dyDescent="0.25">
      <c r="A130" s="29" t="s">
        <v>413</v>
      </c>
      <c r="B130" s="205" t="s">
        <v>13</v>
      </c>
      <c r="C130" s="11" t="s">
        <v>170</v>
      </c>
      <c r="D130" s="20" t="s">
        <v>58</v>
      </c>
      <c r="E130" s="20">
        <f>1.2*1.2</f>
        <v>1.44</v>
      </c>
      <c r="F130" s="33">
        <v>0</v>
      </c>
      <c r="G130" s="15"/>
      <c r="H130" s="33">
        <f t="shared" si="11"/>
        <v>0</v>
      </c>
      <c r="I130" s="15"/>
      <c r="J130" s="1"/>
      <c r="K130" s="1"/>
      <c r="P130" s="1"/>
      <c r="Q130" s="1"/>
      <c r="R130" s="1"/>
      <c r="S130" s="1"/>
    </row>
    <row r="131" spans="1:19" x14ac:dyDescent="0.25">
      <c r="A131" s="29" t="s">
        <v>436</v>
      </c>
      <c r="B131" s="205" t="s">
        <v>13</v>
      </c>
      <c r="C131" s="11" t="s">
        <v>506</v>
      </c>
      <c r="D131" s="20" t="s">
        <v>14</v>
      </c>
      <c r="E131" s="20">
        <v>2</v>
      </c>
      <c r="F131" s="33">
        <v>0</v>
      </c>
      <c r="G131" s="15"/>
      <c r="H131" s="33">
        <f t="shared" si="11"/>
        <v>0</v>
      </c>
      <c r="I131" s="15"/>
      <c r="J131" s="1"/>
      <c r="K131" s="1">
        <f>E131*0.53</f>
        <v>1.06</v>
      </c>
      <c r="P131" s="1"/>
      <c r="Q131" s="1"/>
      <c r="R131" s="1"/>
      <c r="S131" s="1"/>
    </row>
    <row r="132" spans="1:19" x14ac:dyDescent="0.25">
      <c r="A132" s="29" t="s">
        <v>612</v>
      </c>
      <c r="B132" s="205" t="s">
        <v>13</v>
      </c>
      <c r="C132" s="11" t="s">
        <v>174</v>
      </c>
      <c r="D132" s="20" t="s">
        <v>14</v>
      </c>
      <c r="E132" s="20">
        <v>4</v>
      </c>
      <c r="F132" s="33">
        <v>0</v>
      </c>
      <c r="G132" s="15"/>
      <c r="H132" s="33">
        <f t="shared" si="11"/>
        <v>0</v>
      </c>
      <c r="I132" s="15"/>
      <c r="J132" s="1"/>
      <c r="K132" s="1">
        <f>0.46*E132</f>
        <v>1.84</v>
      </c>
      <c r="P132" s="1"/>
      <c r="Q132" s="1"/>
      <c r="R132" s="1"/>
      <c r="S132" s="1"/>
    </row>
    <row r="133" spans="1:19" x14ac:dyDescent="0.25">
      <c r="A133" s="29" t="s">
        <v>613</v>
      </c>
      <c r="B133" s="205" t="s">
        <v>13</v>
      </c>
      <c r="C133" s="11" t="s">
        <v>507</v>
      </c>
      <c r="D133" s="20" t="s">
        <v>14</v>
      </c>
      <c r="E133" s="20">
        <v>2</v>
      </c>
      <c r="F133" s="33">
        <v>0</v>
      </c>
      <c r="G133" s="15"/>
      <c r="H133" s="33">
        <f t="shared" si="11"/>
        <v>0</v>
      </c>
      <c r="I133" s="15"/>
      <c r="J133" s="1"/>
      <c r="K133" s="1">
        <f>E133*0.2</f>
        <v>0.4</v>
      </c>
      <c r="P133" s="1"/>
      <c r="Q133" s="1"/>
      <c r="R133" s="1"/>
      <c r="S133" s="1"/>
    </row>
    <row r="134" spans="1:19" x14ac:dyDescent="0.25">
      <c r="A134" s="29" t="s">
        <v>776</v>
      </c>
      <c r="B134" s="205" t="s">
        <v>13</v>
      </c>
      <c r="C134" s="11" t="s">
        <v>175</v>
      </c>
      <c r="D134" s="20" t="s">
        <v>14</v>
      </c>
      <c r="E134" s="20">
        <v>4</v>
      </c>
      <c r="F134" s="33">
        <v>0</v>
      </c>
      <c r="G134" s="15"/>
      <c r="H134" s="33">
        <f t="shared" si="11"/>
        <v>0</v>
      </c>
      <c r="I134" s="15"/>
      <c r="J134" s="1"/>
      <c r="K134" s="1">
        <f>E134*0.17</f>
        <v>0.68</v>
      </c>
      <c r="P134" s="1"/>
      <c r="Q134" s="1"/>
      <c r="R134" s="1"/>
      <c r="S134" s="1"/>
    </row>
    <row r="135" spans="1:19" x14ac:dyDescent="0.25">
      <c r="A135" s="29" t="s">
        <v>777</v>
      </c>
      <c r="B135" s="205" t="s">
        <v>13</v>
      </c>
      <c r="C135" s="11" t="s">
        <v>177</v>
      </c>
      <c r="D135" s="20" t="s">
        <v>14</v>
      </c>
      <c r="E135" s="20">
        <v>4</v>
      </c>
      <c r="F135" s="33">
        <v>0</v>
      </c>
      <c r="G135" s="15"/>
      <c r="H135" s="33">
        <f t="shared" si="11"/>
        <v>0</v>
      </c>
      <c r="I135" s="15"/>
      <c r="J135" s="1"/>
      <c r="K135" s="1">
        <f>E135*0.64</f>
        <v>2.56</v>
      </c>
      <c r="P135" s="1"/>
      <c r="Q135" s="1"/>
      <c r="R135" s="1"/>
      <c r="S135" s="1"/>
    </row>
    <row r="136" spans="1:19" x14ac:dyDescent="0.25">
      <c r="A136" s="29" t="s">
        <v>778</v>
      </c>
      <c r="B136" s="205" t="s">
        <v>13</v>
      </c>
      <c r="C136" s="11" t="s">
        <v>178</v>
      </c>
      <c r="D136" s="20" t="s">
        <v>14</v>
      </c>
      <c r="E136" s="20">
        <v>1</v>
      </c>
      <c r="F136" s="33">
        <v>0</v>
      </c>
      <c r="G136" s="15"/>
      <c r="H136" s="33">
        <f t="shared" si="11"/>
        <v>0</v>
      </c>
      <c r="I136" s="15"/>
      <c r="J136" s="1"/>
      <c r="K136" s="1">
        <f>E136*0.74</f>
        <v>0.74</v>
      </c>
      <c r="P136" s="1"/>
      <c r="Q136" s="1"/>
      <c r="R136" s="1"/>
      <c r="S136" s="1"/>
    </row>
    <row r="137" spans="1:19" ht="42" customHeight="1" x14ac:dyDescent="0.25">
      <c r="A137" s="315" t="s">
        <v>99</v>
      </c>
      <c r="B137" s="316" t="s">
        <v>9</v>
      </c>
      <c r="C137" s="74" t="s">
        <v>180</v>
      </c>
      <c r="D137" s="75" t="s">
        <v>54</v>
      </c>
      <c r="E137" s="75">
        <v>130.35</v>
      </c>
      <c r="F137" s="317"/>
      <c r="G137" s="318">
        <v>0</v>
      </c>
      <c r="H137" s="317"/>
      <c r="I137" s="318">
        <f>E137*G137</f>
        <v>0</v>
      </c>
      <c r="J137" s="1"/>
      <c r="K137" s="1"/>
      <c r="P137" s="1"/>
      <c r="Q137" s="1"/>
      <c r="R137" s="1"/>
      <c r="S137" s="1"/>
    </row>
    <row r="138" spans="1:19" x14ac:dyDescent="0.25">
      <c r="A138" s="29" t="s">
        <v>100</v>
      </c>
      <c r="B138" s="240" t="s">
        <v>13</v>
      </c>
      <c r="C138" s="11" t="s">
        <v>55</v>
      </c>
      <c r="D138" s="20" t="s">
        <v>38</v>
      </c>
      <c r="E138" s="76">
        <f>2.25*E137</f>
        <v>293.29000000000002</v>
      </c>
      <c r="F138" s="33">
        <v>0</v>
      </c>
      <c r="G138" s="15"/>
      <c r="H138" s="33">
        <f>F138*E138</f>
        <v>0</v>
      </c>
      <c r="I138" s="15"/>
      <c r="J138" s="1"/>
      <c r="K138" s="1"/>
      <c r="P138" s="1"/>
      <c r="Q138" s="1"/>
      <c r="R138" s="1"/>
      <c r="S138" s="1"/>
    </row>
    <row r="139" spans="1:19" x14ac:dyDescent="0.25">
      <c r="A139" s="29" t="s">
        <v>101</v>
      </c>
      <c r="B139" s="205" t="s">
        <v>13</v>
      </c>
      <c r="C139" s="11" t="s">
        <v>309</v>
      </c>
      <c r="D139" s="20" t="s">
        <v>58</v>
      </c>
      <c r="E139" s="20">
        <v>53.9</v>
      </c>
      <c r="F139" s="33">
        <v>0</v>
      </c>
      <c r="G139" s="15"/>
      <c r="H139" s="33">
        <f t="shared" ref="H139:H150" si="12">F139*E139</f>
        <v>0</v>
      </c>
      <c r="I139" s="15"/>
      <c r="J139" s="1"/>
      <c r="K139" s="319">
        <f>1.8*53.9</f>
        <v>97.02</v>
      </c>
      <c r="P139" s="1"/>
      <c r="Q139" s="1"/>
      <c r="R139" s="1"/>
      <c r="S139" s="1"/>
    </row>
    <row r="140" spans="1:19" x14ac:dyDescent="0.25">
      <c r="A140" s="29" t="s">
        <v>102</v>
      </c>
      <c r="B140" s="205" t="s">
        <v>13</v>
      </c>
      <c r="C140" s="11" t="s">
        <v>182</v>
      </c>
      <c r="D140" s="20" t="s">
        <v>58</v>
      </c>
      <c r="E140" s="20">
        <v>7.3</v>
      </c>
      <c r="F140" s="33">
        <v>0</v>
      </c>
      <c r="G140" s="15"/>
      <c r="H140" s="33">
        <f t="shared" si="12"/>
        <v>0</v>
      </c>
      <c r="I140" s="15"/>
      <c r="J140" s="1"/>
      <c r="K140" s="319">
        <f>2*7.3</f>
        <v>14.6</v>
      </c>
      <c r="P140" s="1"/>
      <c r="Q140" s="1"/>
      <c r="R140" s="1"/>
      <c r="S140" s="1"/>
    </row>
    <row r="141" spans="1:19" x14ac:dyDescent="0.25">
      <c r="A141" s="29" t="s">
        <v>103</v>
      </c>
      <c r="B141" s="205" t="s">
        <v>13</v>
      </c>
      <c r="C141" s="11" t="s">
        <v>181</v>
      </c>
      <c r="D141" s="20" t="s">
        <v>58</v>
      </c>
      <c r="E141" s="291">
        <v>3.7</v>
      </c>
      <c r="F141" s="33">
        <v>0</v>
      </c>
      <c r="G141" s="15"/>
      <c r="H141" s="33">
        <f t="shared" si="12"/>
        <v>0</v>
      </c>
      <c r="I141" s="15"/>
      <c r="J141" s="1"/>
      <c r="K141" s="320">
        <f>2.2*3.7</f>
        <v>8.1</v>
      </c>
      <c r="P141" s="1"/>
      <c r="Q141" s="1"/>
      <c r="R141" s="1"/>
      <c r="S141" s="1"/>
    </row>
    <row r="142" spans="1:19" x14ac:dyDescent="0.25">
      <c r="A142" s="29" t="s">
        <v>104</v>
      </c>
      <c r="B142" s="205" t="s">
        <v>13</v>
      </c>
      <c r="C142" s="11" t="s">
        <v>508</v>
      </c>
      <c r="D142" s="20" t="s">
        <v>58</v>
      </c>
      <c r="E142" s="291">
        <v>2.2000000000000002</v>
      </c>
      <c r="F142" s="33">
        <v>0</v>
      </c>
      <c r="G142" s="15"/>
      <c r="H142" s="33">
        <f t="shared" si="12"/>
        <v>0</v>
      </c>
      <c r="I142" s="15"/>
      <c r="J142" s="1"/>
      <c r="K142" s="320">
        <f>2.4*2.2</f>
        <v>5.3</v>
      </c>
      <c r="P142" s="1"/>
      <c r="Q142" s="1"/>
      <c r="R142" s="1"/>
      <c r="S142" s="1"/>
    </row>
    <row r="143" spans="1:19" x14ac:dyDescent="0.25">
      <c r="A143" s="29" t="s">
        <v>451</v>
      </c>
      <c r="B143" s="205" t="s">
        <v>13</v>
      </c>
      <c r="C143" s="11" t="s">
        <v>509</v>
      </c>
      <c r="D143" s="20" t="s">
        <v>14</v>
      </c>
      <c r="E143" s="20">
        <v>1</v>
      </c>
      <c r="F143" s="33">
        <v>0</v>
      </c>
      <c r="G143" s="15"/>
      <c r="H143" s="33">
        <f t="shared" si="12"/>
        <v>0</v>
      </c>
      <c r="I143" s="15"/>
      <c r="J143" s="1"/>
      <c r="K143" s="1">
        <f>E143*0.84</f>
        <v>0.84</v>
      </c>
      <c r="P143" s="1"/>
      <c r="Q143" s="1"/>
      <c r="R143" s="1"/>
      <c r="S143" s="1"/>
    </row>
    <row r="144" spans="1:19" x14ac:dyDescent="0.25">
      <c r="A144" s="29" t="s">
        <v>452</v>
      </c>
      <c r="B144" s="205" t="s">
        <v>13</v>
      </c>
      <c r="C144" s="11" t="s">
        <v>510</v>
      </c>
      <c r="D144" s="20" t="s">
        <v>14</v>
      </c>
      <c r="E144" s="20">
        <v>1</v>
      </c>
      <c r="F144" s="33">
        <v>0</v>
      </c>
      <c r="G144" s="15"/>
      <c r="H144" s="33">
        <f t="shared" si="12"/>
        <v>0</v>
      </c>
      <c r="I144" s="15"/>
      <c r="J144" s="1"/>
      <c r="K144" s="1">
        <f>E144*0.27</f>
        <v>0.27</v>
      </c>
      <c r="P144" s="1"/>
      <c r="Q144" s="1"/>
      <c r="R144" s="1"/>
      <c r="S144" s="1"/>
    </row>
    <row r="145" spans="1:19" ht="21" customHeight="1" x14ac:dyDescent="0.25">
      <c r="A145" s="29" t="s">
        <v>779</v>
      </c>
      <c r="B145" s="205" t="s">
        <v>13</v>
      </c>
      <c r="C145" s="11" t="s">
        <v>511</v>
      </c>
      <c r="D145" s="20" t="s">
        <v>14</v>
      </c>
      <c r="E145" s="20">
        <v>2</v>
      </c>
      <c r="F145" s="33">
        <v>0</v>
      </c>
      <c r="G145" s="15"/>
      <c r="H145" s="33">
        <f t="shared" si="12"/>
        <v>0</v>
      </c>
      <c r="I145" s="15"/>
      <c r="J145" s="1"/>
      <c r="K145" s="1">
        <f>E145*0.87</f>
        <v>1.74</v>
      </c>
      <c r="P145" s="1"/>
      <c r="Q145" s="1"/>
      <c r="R145" s="1"/>
      <c r="S145" s="1"/>
    </row>
    <row r="146" spans="1:19" x14ac:dyDescent="0.25">
      <c r="A146" s="29" t="s">
        <v>780</v>
      </c>
      <c r="B146" s="205" t="s">
        <v>13</v>
      </c>
      <c r="C146" s="11" t="s">
        <v>512</v>
      </c>
      <c r="D146" s="20" t="s">
        <v>14</v>
      </c>
      <c r="E146" s="20">
        <v>1</v>
      </c>
      <c r="F146" s="33">
        <v>0</v>
      </c>
      <c r="G146" s="15"/>
      <c r="H146" s="33">
        <f t="shared" si="12"/>
        <v>0</v>
      </c>
      <c r="I146" s="15"/>
      <c r="J146" s="1"/>
      <c r="K146" s="1">
        <f>E146*0.96</f>
        <v>0.96</v>
      </c>
      <c r="P146" s="1"/>
      <c r="Q146" s="1"/>
      <c r="R146" s="1"/>
      <c r="S146" s="1"/>
    </row>
    <row r="147" spans="1:19" x14ac:dyDescent="0.25">
      <c r="A147" s="29" t="s">
        <v>781</v>
      </c>
      <c r="B147" s="205" t="s">
        <v>13</v>
      </c>
      <c r="C147" s="11" t="s">
        <v>513</v>
      </c>
      <c r="D147" s="20" t="s">
        <v>14</v>
      </c>
      <c r="E147" s="20">
        <v>1</v>
      </c>
      <c r="F147" s="33">
        <v>0</v>
      </c>
      <c r="G147" s="15"/>
      <c r="H147" s="33">
        <f t="shared" si="12"/>
        <v>0</v>
      </c>
      <c r="I147" s="15"/>
      <c r="J147" s="1"/>
      <c r="K147" s="1">
        <f>E147*0.34</f>
        <v>0.34</v>
      </c>
      <c r="P147" s="1"/>
      <c r="Q147" s="1"/>
      <c r="R147" s="1"/>
      <c r="S147" s="1"/>
    </row>
    <row r="148" spans="1:19" x14ac:dyDescent="0.25">
      <c r="A148" s="29" t="s">
        <v>782</v>
      </c>
      <c r="B148" s="205" t="s">
        <v>13</v>
      </c>
      <c r="C148" s="11" t="s">
        <v>514</v>
      </c>
      <c r="D148" s="20" t="s">
        <v>14</v>
      </c>
      <c r="E148" s="20">
        <v>1</v>
      </c>
      <c r="F148" s="33">
        <v>0</v>
      </c>
      <c r="G148" s="15"/>
      <c r="H148" s="33">
        <f t="shared" si="12"/>
        <v>0</v>
      </c>
      <c r="I148" s="15"/>
      <c r="J148" s="1"/>
      <c r="K148" s="1">
        <f>E148*0.25</f>
        <v>0.25</v>
      </c>
      <c r="P148" s="1"/>
      <c r="Q148" s="1"/>
      <c r="R148" s="1"/>
      <c r="S148" s="1"/>
    </row>
    <row r="149" spans="1:19" x14ac:dyDescent="0.25">
      <c r="A149" s="29" t="s">
        <v>783</v>
      </c>
      <c r="B149" s="205" t="s">
        <v>13</v>
      </c>
      <c r="C149" s="11" t="s">
        <v>200</v>
      </c>
      <c r="D149" s="20" t="s">
        <v>14</v>
      </c>
      <c r="E149" s="20">
        <v>2</v>
      </c>
      <c r="F149" s="33">
        <v>0</v>
      </c>
      <c r="G149" s="15"/>
      <c r="H149" s="33">
        <f t="shared" si="12"/>
        <v>0</v>
      </c>
      <c r="I149" s="15"/>
      <c r="J149" s="1"/>
      <c r="K149" s="1">
        <f>E149*0.27</f>
        <v>0.54</v>
      </c>
      <c r="P149" s="1"/>
      <c r="Q149" s="1"/>
      <c r="R149" s="1"/>
      <c r="S149" s="1"/>
    </row>
    <row r="150" spans="1:19" x14ac:dyDescent="0.25">
      <c r="A150" s="29" t="s">
        <v>784</v>
      </c>
      <c r="B150" s="205" t="s">
        <v>13</v>
      </c>
      <c r="C150" s="11" t="s">
        <v>515</v>
      </c>
      <c r="D150" s="20" t="s">
        <v>14</v>
      </c>
      <c r="E150" s="20">
        <v>1</v>
      </c>
      <c r="F150" s="33">
        <v>0</v>
      </c>
      <c r="G150" s="15"/>
      <c r="H150" s="33">
        <f t="shared" si="12"/>
        <v>0</v>
      </c>
      <c r="I150" s="15"/>
      <c r="J150" s="1"/>
      <c r="K150" s="1">
        <f>E150*0.39</f>
        <v>0.39</v>
      </c>
      <c r="P150" s="1"/>
      <c r="Q150" s="1"/>
      <c r="R150" s="1"/>
      <c r="S150" s="1"/>
    </row>
    <row r="151" spans="1:19" ht="42.75" x14ac:dyDescent="0.25">
      <c r="A151" s="315" t="s">
        <v>105</v>
      </c>
      <c r="B151" s="316" t="s">
        <v>9</v>
      </c>
      <c r="C151" s="295" t="s">
        <v>285</v>
      </c>
      <c r="D151" s="75" t="s">
        <v>54</v>
      </c>
      <c r="E151" s="75">
        <v>9.39</v>
      </c>
      <c r="F151" s="297"/>
      <c r="G151" s="318">
        <v>0</v>
      </c>
      <c r="H151" s="297"/>
      <c r="I151" s="318">
        <f>E151*G151</f>
        <v>0</v>
      </c>
      <c r="J151" s="1"/>
      <c r="K151" s="1"/>
      <c r="P151" s="1"/>
      <c r="Q151" s="1"/>
      <c r="R151" s="1"/>
      <c r="S151" s="1"/>
    </row>
    <row r="152" spans="1:19" x14ac:dyDescent="0.25">
      <c r="A152" s="321" t="s">
        <v>149</v>
      </c>
      <c r="B152" s="205" t="s">
        <v>13</v>
      </c>
      <c r="C152" s="70" t="s">
        <v>55</v>
      </c>
      <c r="D152" s="71" t="s">
        <v>38</v>
      </c>
      <c r="E152" s="72">
        <f>2.25*E151</f>
        <v>21.13</v>
      </c>
      <c r="F152" s="297">
        <v>0</v>
      </c>
      <c r="G152" s="298"/>
      <c r="H152" s="297">
        <f t="shared" ref="H152:H162" si="13">E152*F152</f>
        <v>0</v>
      </c>
      <c r="I152" s="298"/>
      <c r="J152" s="1"/>
      <c r="K152" s="1"/>
      <c r="P152" s="1"/>
      <c r="Q152" s="1"/>
      <c r="R152" s="1"/>
      <c r="S152" s="1"/>
    </row>
    <row r="153" spans="1:19" ht="30" x14ac:dyDescent="0.25">
      <c r="A153" s="321" t="s">
        <v>139</v>
      </c>
      <c r="B153" s="205" t="s">
        <v>13</v>
      </c>
      <c r="C153" s="70" t="s">
        <v>185</v>
      </c>
      <c r="D153" s="71" t="s">
        <v>58</v>
      </c>
      <c r="E153" s="71">
        <v>3.1</v>
      </c>
      <c r="F153" s="297">
        <v>0</v>
      </c>
      <c r="G153" s="298"/>
      <c r="H153" s="297">
        <f t="shared" si="13"/>
        <v>0</v>
      </c>
      <c r="I153" s="298"/>
      <c r="J153" s="1"/>
      <c r="K153" s="1">
        <f>2.8*3.1</f>
        <v>8.68</v>
      </c>
      <c r="P153" s="1"/>
      <c r="Q153" s="1"/>
      <c r="R153" s="1"/>
      <c r="S153" s="1"/>
    </row>
    <row r="154" spans="1:19" x14ac:dyDescent="0.25">
      <c r="A154" s="321" t="s">
        <v>140</v>
      </c>
      <c r="B154" s="205" t="s">
        <v>13</v>
      </c>
      <c r="C154" s="70" t="s">
        <v>516</v>
      </c>
      <c r="D154" s="71" t="s">
        <v>14</v>
      </c>
      <c r="E154" s="71">
        <v>1</v>
      </c>
      <c r="F154" s="297">
        <v>0</v>
      </c>
      <c r="G154" s="298"/>
      <c r="H154" s="297">
        <f t="shared" si="13"/>
        <v>0</v>
      </c>
      <c r="I154" s="298"/>
      <c r="J154" s="1"/>
      <c r="K154" s="1">
        <f>E154*0.28</f>
        <v>0.28000000000000003</v>
      </c>
      <c r="P154" s="1"/>
      <c r="Q154" s="1"/>
      <c r="R154" s="1"/>
      <c r="S154" s="1"/>
    </row>
    <row r="155" spans="1:19" x14ac:dyDescent="0.25">
      <c r="A155" s="321" t="s">
        <v>141</v>
      </c>
      <c r="B155" s="205" t="s">
        <v>13</v>
      </c>
      <c r="C155" s="70" t="s">
        <v>517</v>
      </c>
      <c r="D155" s="71" t="s">
        <v>14</v>
      </c>
      <c r="E155" s="71">
        <v>1</v>
      </c>
      <c r="F155" s="297">
        <v>0</v>
      </c>
      <c r="G155" s="298"/>
      <c r="H155" s="297">
        <f t="shared" si="13"/>
        <v>0</v>
      </c>
      <c r="I155" s="298"/>
      <c r="J155" s="1"/>
      <c r="K155" s="1">
        <f>1*0.43</f>
        <v>0.43</v>
      </c>
      <c r="P155" s="1"/>
      <c r="Q155" s="1"/>
      <c r="R155" s="1"/>
      <c r="S155" s="1"/>
    </row>
    <row r="156" spans="1:19" ht="42.75" x14ac:dyDescent="0.25">
      <c r="A156" s="315" t="s">
        <v>108</v>
      </c>
      <c r="B156" s="239" t="s">
        <v>9</v>
      </c>
      <c r="C156" s="295" t="s">
        <v>518</v>
      </c>
      <c r="D156" s="75" t="s">
        <v>54</v>
      </c>
      <c r="E156" s="75">
        <v>16.75</v>
      </c>
      <c r="F156" s="317"/>
      <c r="G156" s="318">
        <v>0</v>
      </c>
      <c r="H156" s="317"/>
      <c r="I156" s="318">
        <f>E156*G156</f>
        <v>0</v>
      </c>
      <c r="J156" s="1"/>
      <c r="K156" s="1"/>
      <c r="P156" s="1"/>
      <c r="Q156" s="1"/>
      <c r="R156" s="1"/>
      <c r="S156" s="1"/>
    </row>
    <row r="157" spans="1:19" x14ac:dyDescent="0.25">
      <c r="A157" s="29" t="s">
        <v>106</v>
      </c>
      <c r="B157" s="205" t="s">
        <v>13</v>
      </c>
      <c r="C157" s="11" t="s">
        <v>55</v>
      </c>
      <c r="D157" s="20" t="s">
        <v>38</v>
      </c>
      <c r="E157" s="76">
        <f>2.25*E156</f>
        <v>37.69</v>
      </c>
      <c r="F157" s="33">
        <v>0</v>
      </c>
      <c r="G157" s="15"/>
      <c r="H157" s="33">
        <f t="shared" ref="H157" si="14">E157*F157</f>
        <v>0</v>
      </c>
      <c r="I157" s="15"/>
      <c r="J157" s="1"/>
      <c r="K157" s="1"/>
      <c r="P157" s="1"/>
      <c r="Q157" s="1"/>
      <c r="R157" s="1"/>
      <c r="S157" s="1"/>
    </row>
    <row r="158" spans="1:19" ht="30" x14ac:dyDescent="0.25">
      <c r="A158" s="29" t="s">
        <v>107</v>
      </c>
      <c r="B158" s="205" t="s">
        <v>13</v>
      </c>
      <c r="C158" s="11" t="s">
        <v>492</v>
      </c>
      <c r="D158" s="20" t="s">
        <v>58</v>
      </c>
      <c r="E158" s="76">
        <v>0.6</v>
      </c>
      <c r="F158" s="33">
        <v>0</v>
      </c>
      <c r="G158" s="15"/>
      <c r="H158" s="33">
        <f>E158*F158</f>
        <v>0</v>
      </c>
      <c r="I158" s="15"/>
      <c r="J158" s="1"/>
      <c r="K158" s="1">
        <f>4*E158</f>
        <v>2.4</v>
      </c>
      <c r="P158" s="1"/>
      <c r="Q158" s="1"/>
      <c r="R158" s="1"/>
      <c r="S158" s="1"/>
    </row>
    <row r="159" spans="1:19" ht="30" x14ac:dyDescent="0.25">
      <c r="A159" s="29" t="s">
        <v>785</v>
      </c>
      <c r="B159" s="205" t="s">
        <v>13</v>
      </c>
      <c r="C159" s="11" t="s">
        <v>493</v>
      </c>
      <c r="D159" s="20" t="s">
        <v>58</v>
      </c>
      <c r="E159" s="76">
        <v>1.9</v>
      </c>
      <c r="F159" s="33">
        <f>0</f>
        <v>0</v>
      </c>
      <c r="G159" s="15"/>
      <c r="H159" s="33">
        <f>E159*F159</f>
        <v>0</v>
      </c>
      <c r="I159" s="15"/>
      <c r="J159" s="1"/>
      <c r="K159" s="1">
        <f>4*E159</f>
        <v>7.6</v>
      </c>
      <c r="P159" s="1"/>
      <c r="Q159" s="1"/>
      <c r="R159" s="1"/>
      <c r="S159" s="1"/>
    </row>
    <row r="160" spans="1:19" x14ac:dyDescent="0.25">
      <c r="A160" s="29" t="s">
        <v>786</v>
      </c>
      <c r="B160" s="205" t="s">
        <v>13</v>
      </c>
      <c r="C160" s="11" t="s">
        <v>519</v>
      </c>
      <c r="D160" s="20" t="s">
        <v>14</v>
      </c>
      <c r="E160" s="20">
        <v>1</v>
      </c>
      <c r="F160" s="33">
        <v>0</v>
      </c>
      <c r="G160" s="15"/>
      <c r="H160" s="33">
        <f t="shared" si="13"/>
        <v>0</v>
      </c>
      <c r="I160" s="15"/>
      <c r="J160" s="1"/>
      <c r="K160" s="1">
        <f>E160*1.2</f>
        <v>1.2</v>
      </c>
      <c r="P160" s="1"/>
      <c r="Q160" s="1"/>
      <c r="R160" s="1"/>
      <c r="S160" s="1"/>
    </row>
    <row r="161" spans="1:19" ht="30" x14ac:dyDescent="0.25">
      <c r="A161" s="29" t="s">
        <v>787</v>
      </c>
      <c r="B161" s="205" t="s">
        <v>13</v>
      </c>
      <c r="C161" s="11" t="s">
        <v>495</v>
      </c>
      <c r="D161" s="20" t="s">
        <v>14</v>
      </c>
      <c r="E161" s="20">
        <v>1</v>
      </c>
      <c r="F161" s="33">
        <v>0</v>
      </c>
      <c r="G161" s="15"/>
      <c r="H161" s="33">
        <f t="shared" si="13"/>
        <v>0</v>
      </c>
      <c r="I161" s="15"/>
      <c r="J161" s="1"/>
      <c r="K161" s="1">
        <f>E161*4.33</f>
        <v>4.33</v>
      </c>
      <c r="P161" s="1"/>
      <c r="Q161" s="1"/>
      <c r="R161" s="1"/>
      <c r="S161" s="1"/>
    </row>
    <row r="162" spans="1:19" ht="30" x14ac:dyDescent="0.25">
      <c r="A162" s="29" t="s">
        <v>788</v>
      </c>
      <c r="B162" s="205" t="s">
        <v>13</v>
      </c>
      <c r="C162" s="11" t="s">
        <v>520</v>
      </c>
      <c r="D162" s="20" t="s">
        <v>14</v>
      </c>
      <c r="E162" s="20">
        <v>1</v>
      </c>
      <c r="F162" s="33">
        <v>0</v>
      </c>
      <c r="G162" s="15"/>
      <c r="H162" s="33">
        <f t="shared" si="13"/>
        <v>0</v>
      </c>
      <c r="I162" s="15"/>
      <c r="J162" s="1"/>
      <c r="K162" s="1">
        <f>E162*1.22</f>
        <v>1.22</v>
      </c>
      <c r="P162" s="1"/>
      <c r="Q162" s="1"/>
      <c r="R162" s="1"/>
      <c r="S162" s="1"/>
    </row>
    <row r="163" spans="1:19" ht="28.5" x14ac:dyDescent="0.25">
      <c r="A163" s="315" t="s">
        <v>109</v>
      </c>
      <c r="B163" s="316" t="s">
        <v>189</v>
      </c>
      <c r="C163" s="295" t="s">
        <v>48</v>
      </c>
      <c r="D163" s="75" t="s">
        <v>14</v>
      </c>
      <c r="E163" s="75">
        <v>10</v>
      </c>
      <c r="F163" s="317"/>
      <c r="G163" s="318">
        <v>0</v>
      </c>
      <c r="H163" s="317"/>
      <c r="I163" s="318">
        <f>E163*G163</f>
        <v>0</v>
      </c>
      <c r="J163" s="1"/>
      <c r="K163" s="1">
        <f>SUM(K158:K162)</f>
        <v>16.75</v>
      </c>
      <c r="P163" s="1"/>
      <c r="Q163" s="1"/>
      <c r="R163" s="1"/>
      <c r="S163" s="1"/>
    </row>
    <row r="164" spans="1:19" ht="30" x14ac:dyDescent="0.25">
      <c r="A164" s="321" t="s">
        <v>110</v>
      </c>
      <c r="B164" s="205" t="s">
        <v>13</v>
      </c>
      <c r="C164" s="70" t="s">
        <v>186</v>
      </c>
      <c r="D164" s="71" t="s">
        <v>14</v>
      </c>
      <c r="E164" s="322">
        <v>4</v>
      </c>
      <c r="F164" s="297">
        <v>0</v>
      </c>
      <c r="G164" s="298"/>
      <c r="H164" s="297">
        <f>E164*F164</f>
        <v>0</v>
      </c>
      <c r="I164" s="298"/>
      <c r="J164" s="1"/>
      <c r="K164" s="1"/>
      <c r="P164" s="1"/>
      <c r="Q164" s="1"/>
      <c r="R164" s="1"/>
      <c r="S164" s="1"/>
    </row>
    <row r="165" spans="1:19" ht="30" x14ac:dyDescent="0.25">
      <c r="A165" s="323" t="s">
        <v>111</v>
      </c>
      <c r="B165" s="205" t="s">
        <v>13</v>
      </c>
      <c r="C165" s="122" t="s">
        <v>187</v>
      </c>
      <c r="D165" s="324" t="s">
        <v>14</v>
      </c>
      <c r="E165" s="325">
        <v>4</v>
      </c>
      <c r="F165" s="326">
        <v>0</v>
      </c>
      <c r="G165" s="327"/>
      <c r="H165" s="326">
        <f>E165*F165</f>
        <v>0</v>
      </c>
      <c r="I165" s="327"/>
      <c r="J165" s="1"/>
      <c r="K165" s="1"/>
      <c r="P165" s="1"/>
      <c r="Q165" s="1"/>
      <c r="R165" s="1"/>
      <c r="S165" s="1"/>
    </row>
    <row r="166" spans="1:19" ht="30" x14ac:dyDescent="0.25">
      <c r="A166" s="321" t="s">
        <v>789</v>
      </c>
      <c r="B166" s="240" t="s">
        <v>13</v>
      </c>
      <c r="C166" s="122" t="s">
        <v>188</v>
      </c>
      <c r="D166" s="324" t="s">
        <v>14</v>
      </c>
      <c r="E166" s="324">
        <v>2</v>
      </c>
      <c r="F166" s="326">
        <v>0</v>
      </c>
      <c r="G166" s="327"/>
      <c r="H166" s="326">
        <f t="shared" ref="H166" si="15">E166*F166</f>
        <v>0</v>
      </c>
      <c r="I166" s="327"/>
      <c r="J166" s="1"/>
      <c r="K166" s="1"/>
      <c r="P166" s="1"/>
      <c r="Q166" s="1"/>
      <c r="R166" s="1"/>
      <c r="S166" s="1"/>
    </row>
    <row r="167" spans="1:19" ht="28.5" x14ac:dyDescent="0.25">
      <c r="A167" s="315" t="s">
        <v>112</v>
      </c>
      <c r="B167" s="316" t="s">
        <v>189</v>
      </c>
      <c r="C167" s="295" t="s">
        <v>52</v>
      </c>
      <c r="D167" s="75" t="s">
        <v>14</v>
      </c>
      <c r="E167" s="75">
        <v>1</v>
      </c>
      <c r="F167" s="317"/>
      <c r="G167" s="318">
        <v>0</v>
      </c>
      <c r="H167" s="317"/>
      <c r="I167" s="318">
        <f>E167*G167</f>
        <v>0</v>
      </c>
      <c r="J167" s="1"/>
      <c r="K167" s="1"/>
      <c r="P167" s="1"/>
      <c r="Q167" s="1"/>
      <c r="R167" s="1"/>
      <c r="S167" s="1"/>
    </row>
    <row r="168" spans="1:19" ht="30" x14ac:dyDescent="0.25">
      <c r="A168" s="129" t="s">
        <v>113</v>
      </c>
      <c r="B168" s="240" t="s">
        <v>13</v>
      </c>
      <c r="C168" s="55" t="s">
        <v>311</v>
      </c>
      <c r="D168" s="94" t="s">
        <v>14</v>
      </c>
      <c r="E168" s="94">
        <v>1</v>
      </c>
      <c r="F168" s="186">
        <v>0</v>
      </c>
      <c r="G168" s="127"/>
      <c r="H168" s="186">
        <f t="shared" ref="H168" si="16">E168*F168</f>
        <v>0</v>
      </c>
      <c r="I168" s="127"/>
      <c r="J168" s="1"/>
      <c r="K168" s="1"/>
      <c r="P168" s="1"/>
      <c r="Q168" s="1"/>
      <c r="R168" s="1"/>
      <c r="S168" s="1"/>
    </row>
    <row r="169" spans="1:19" ht="28.5" x14ac:dyDescent="0.25">
      <c r="A169" s="26" t="s">
        <v>115</v>
      </c>
      <c r="B169" s="239" t="s">
        <v>9</v>
      </c>
      <c r="C169" s="17" t="s">
        <v>137</v>
      </c>
      <c r="D169" s="19" t="s">
        <v>14</v>
      </c>
      <c r="E169" s="19">
        <v>151</v>
      </c>
      <c r="F169" s="28"/>
      <c r="G169" s="58">
        <v>0</v>
      </c>
      <c r="H169" s="28"/>
      <c r="I169" s="58">
        <f>E169*G169</f>
        <v>0</v>
      </c>
      <c r="J169" s="1"/>
      <c r="K169" s="1"/>
      <c r="P169" s="1"/>
      <c r="Q169" s="1"/>
      <c r="R169" s="1"/>
      <c r="S169" s="1"/>
    </row>
    <row r="170" spans="1:19" x14ac:dyDescent="0.25">
      <c r="A170" s="29" t="s">
        <v>116</v>
      </c>
      <c r="B170" s="205" t="s">
        <v>13</v>
      </c>
      <c r="C170" s="11" t="s">
        <v>191</v>
      </c>
      <c r="D170" s="20" t="s">
        <v>14</v>
      </c>
      <c r="E170" s="20">
        <v>151</v>
      </c>
      <c r="F170" s="33">
        <v>0</v>
      </c>
      <c r="G170" s="58"/>
      <c r="H170" s="186">
        <f t="shared" ref="H170" si="17">E170*F170</f>
        <v>0</v>
      </c>
      <c r="I170" s="58"/>
      <c r="J170" s="1"/>
      <c r="K170" s="1"/>
      <c r="P170" s="1"/>
      <c r="Q170" s="1"/>
      <c r="R170" s="1"/>
      <c r="S170" s="1"/>
    </row>
    <row r="171" spans="1:19" ht="28.5" x14ac:dyDescent="0.25">
      <c r="A171" s="26" t="s">
        <v>118</v>
      </c>
      <c r="B171" s="239" t="s">
        <v>9</v>
      </c>
      <c r="C171" s="17" t="s">
        <v>502</v>
      </c>
      <c r="D171" s="19" t="s">
        <v>14</v>
      </c>
      <c r="E171" s="19">
        <v>132</v>
      </c>
      <c r="F171" s="28"/>
      <c r="G171" s="58">
        <v>0</v>
      </c>
      <c r="H171" s="28"/>
      <c r="I171" s="58">
        <f>E171*G171</f>
        <v>0</v>
      </c>
      <c r="J171" s="1"/>
      <c r="K171" s="1"/>
      <c r="P171" s="1"/>
      <c r="Q171" s="1"/>
      <c r="R171" s="1"/>
      <c r="S171" s="1"/>
    </row>
    <row r="172" spans="1:19" x14ac:dyDescent="0.25">
      <c r="A172" s="129" t="s">
        <v>119</v>
      </c>
      <c r="B172" s="205" t="s">
        <v>13</v>
      </c>
      <c r="C172" s="11" t="s">
        <v>190</v>
      </c>
      <c r="D172" s="20" t="s">
        <v>14</v>
      </c>
      <c r="E172" s="20">
        <v>132</v>
      </c>
      <c r="F172" s="33">
        <v>0</v>
      </c>
      <c r="G172" s="15"/>
      <c r="H172" s="186">
        <f t="shared" ref="H172" si="18">E172*F172</f>
        <v>0</v>
      </c>
      <c r="I172" s="15"/>
      <c r="J172" s="1"/>
      <c r="K172" s="1"/>
      <c r="P172" s="1"/>
      <c r="Q172" s="1"/>
      <c r="R172" s="1"/>
      <c r="S172" s="1"/>
    </row>
    <row r="173" spans="1:19" ht="28.5" x14ac:dyDescent="0.25">
      <c r="A173" s="26" t="s">
        <v>122</v>
      </c>
      <c r="B173" s="239" t="s">
        <v>9</v>
      </c>
      <c r="C173" s="17" t="s">
        <v>521</v>
      </c>
      <c r="D173" s="19" t="s">
        <v>14</v>
      </c>
      <c r="E173" s="19">
        <v>1</v>
      </c>
      <c r="F173" s="28"/>
      <c r="G173" s="58">
        <v>0</v>
      </c>
      <c r="H173" s="28"/>
      <c r="I173" s="58">
        <f>E173*G173</f>
        <v>0</v>
      </c>
      <c r="J173" s="1"/>
      <c r="K173" s="1"/>
      <c r="P173" s="1"/>
      <c r="Q173" s="1"/>
      <c r="R173" s="1"/>
      <c r="S173" s="1"/>
    </row>
    <row r="174" spans="1:19" x14ac:dyDescent="0.25">
      <c r="A174" s="185" t="s">
        <v>123</v>
      </c>
      <c r="B174" s="240" t="s">
        <v>13</v>
      </c>
      <c r="C174" s="55" t="s">
        <v>522</v>
      </c>
      <c r="D174" s="94" t="s">
        <v>14</v>
      </c>
      <c r="E174" s="94">
        <v>1</v>
      </c>
      <c r="F174" s="186">
        <v>0</v>
      </c>
      <c r="G174" s="127"/>
      <c r="H174" s="186">
        <f>E174*F174</f>
        <v>0</v>
      </c>
      <c r="I174" s="127"/>
      <c r="J174" s="1"/>
      <c r="K174" s="1"/>
      <c r="P174" s="1"/>
      <c r="Q174" s="1"/>
      <c r="R174" s="1"/>
      <c r="S174" s="1"/>
    </row>
    <row r="175" spans="1:19" x14ac:dyDescent="0.25">
      <c r="A175" s="300" t="s">
        <v>790</v>
      </c>
      <c r="B175" s="301" t="s">
        <v>9</v>
      </c>
      <c r="C175" s="302" t="s">
        <v>471</v>
      </c>
      <c r="D175" s="303" t="s">
        <v>472</v>
      </c>
      <c r="E175" s="303">
        <v>5</v>
      </c>
      <c r="F175" s="304"/>
      <c r="G175" s="305">
        <v>0</v>
      </c>
      <c r="H175" s="304"/>
      <c r="I175" s="305">
        <f>E175*G175</f>
        <v>0</v>
      </c>
      <c r="J175" s="1"/>
      <c r="K175" s="1"/>
      <c r="P175" s="1"/>
      <c r="Q175" s="1"/>
      <c r="R175" s="1"/>
      <c r="S175" s="1"/>
    </row>
    <row r="176" spans="1:19" ht="28.5" x14ac:dyDescent="0.25">
      <c r="A176" s="26" t="s">
        <v>125</v>
      </c>
      <c r="B176" s="239" t="s">
        <v>9</v>
      </c>
      <c r="C176" s="17" t="s">
        <v>211</v>
      </c>
      <c r="D176" s="19" t="s">
        <v>54</v>
      </c>
      <c r="E176" s="75">
        <v>1014</v>
      </c>
      <c r="F176" s="28"/>
      <c r="G176" s="58">
        <v>0</v>
      </c>
      <c r="H176" s="28"/>
      <c r="I176" s="58">
        <f>E176*G176</f>
        <v>0</v>
      </c>
      <c r="J176" s="1"/>
      <c r="K176" s="1"/>
      <c r="P176" s="1"/>
      <c r="Q176" s="1"/>
      <c r="R176" s="1"/>
      <c r="S176" s="1"/>
    </row>
    <row r="177" spans="1:19" x14ac:dyDescent="0.25">
      <c r="A177" s="130" t="s">
        <v>126</v>
      </c>
      <c r="B177" s="206" t="s">
        <v>13</v>
      </c>
      <c r="C177" s="188" t="s">
        <v>209</v>
      </c>
      <c r="D177" s="90" t="s">
        <v>54</v>
      </c>
      <c r="E177" s="90">
        <f>1.1*E176</f>
        <v>1115.4000000000001</v>
      </c>
      <c r="F177" s="62">
        <v>0</v>
      </c>
      <c r="G177" s="119"/>
      <c r="H177" s="62">
        <f>E177*F177</f>
        <v>0</v>
      </c>
      <c r="I177" s="119"/>
      <c r="J177" s="1"/>
      <c r="K177" s="1"/>
      <c r="P177" s="1"/>
      <c r="Q177" s="1"/>
      <c r="R177" s="1"/>
      <c r="S177" s="1"/>
    </row>
    <row r="178" spans="1:19" x14ac:dyDescent="0.25">
      <c r="A178" s="130" t="s">
        <v>791</v>
      </c>
      <c r="B178" s="206" t="s">
        <v>13</v>
      </c>
      <c r="C178" s="188" t="s">
        <v>210</v>
      </c>
      <c r="D178" s="90" t="s">
        <v>38</v>
      </c>
      <c r="E178" s="90">
        <f>0.7*E176</f>
        <v>709.8</v>
      </c>
      <c r="F178" s="62">
        <v>0</v>
      </c>
      <c r="G178" s="119"/>
      <c r="H178" s="62">
        <f>E178*F178</f>
        <v>0</v>
      </c>
      <c r="I178" s="119"/>
      <c r="J178" s="1"/>
      <c r="K178" s="1"/>
      <c r="P178" s="1"/>
      <c r="Q178" s="1"/>
      <c r="R178" s="1"/>
      <c r="S178" s="1"/>
    </row>
    <row r="179" spans="1:19" x14ac:dyDescent="0.25">
      <c r="A179" s="173" t="s">
        <v>127</v>
      </c>
      <c r="B179" s="252" t="s">
        <v>9</v>
      </c>
      <c r="C179" s="250" t="s">
        <v>202</v>
      </c>
      <c r="D179" s="88" t="s">
        <v>54</v>
      </c>
      <c r="E179" s="88">
        <v>8.5</v>
      </c>
      <c r="F179" s="150"/>
      <c r="G179" s="65">
        <v>0</v>
      </c>
      <c r="H179" s="150"/>
      <c r="I179" s="65">
        <f>E179*G179</f>
        <v>0</v>
      </c>
      <c r="J179" s="1"/>
      <c r="K179" s="1"/>
      <c r="P179" s="1"/>
      <c r="Q179" s="1"/>
      <c r="R179" s="1"/>
      <c r="S179" s="1"/>
    </row>
    <row r="180" spans="1:19" x14ac:dyDescent="0.25">
      <c r="A180" s="130" t="s">
        <v>128</v>
      </c>
      <c r="B180" s="206" t="s">
        <v>13</v>
      </c>
      <c r="C180" s="188" t="s">
        <v>203</v>
      </c>
      <c r="D180" s="90" t="s">
        <v>54</v>
      </c>
      <c r="E180" s="90">
        <v>8.5</v>
      </c>
      <c r="F180" s="62">
        <v>0</v>
      </c>
      <c r="G180" s="119"/>
      <c r="H180" s="62">
        <f>E180*F180</f>
        <v>0</v>
      </c>
      <c r="I180" s="119"/>
      <c r="J180" s="1"/>
      <c r="K180" s="1"/>
      <c r="P180" s="1"/>
      <c r="Q180" s="1"/>
      <c r="R180" s="1"/>
      <c r="S180" s="1"/>
    </row>
    <row r="181" spans="1:19" ht="30.75" thickBot="1" x14ac:dyDescent="0.3">
      <c r="A181" s="129" t="s">
        <v>792</v>
      </c>
      <c r="B181" s="240" t="s">
        <v>13</v>
      </c>
      <c r="C181" s="55" t="s">
        <v>204</v>
      </c>
      <c r="D181" s="94" t="s">
        <v>54</v>
      </c>
      <c r="E181" s="94">
        <v>8.5</v>
      </c>
      <c r="F181" s="186">
        <v>0</v>
      </c>
      <c r="G181" s="127"/>
      <c r="H181" s="186">
        <f>E181*F181</f>
        <v>0</v>
      </c>
      <c r="I181" s="127"/>
      <c r="J181" s="1"/>
      <c r="K181" s="1"/>
      <c r="P181" s="1"/>
      <c r="Q181" s="1"/>
      <c r="R181" s="1"/>
      <c r="S181" s="1"/>
    </row>
    <row r="182" spans="1:19" ht="15.75" thickBot="1" x14ac:dyDescent="0.3">
      <c r="A182" s="83"/>
      <c r="B182" s="241"/>
      <c r="C182" s="270" t="s">
        <v>417</v>
      </c>
      <c r="D182" s="3"/>
      <c r="E182" s="3"/>
      <c r="F182" s="99"/>
      <c r="G182" s="136"/>
      <c r="H182" s="121">
        <f>SUM(H106:H181)</f>
        <v>0</v>
      </c>
      <c r="I182" s="86">
        <f>SUM(I105:I181)</f>
        <v>0</v>
      </c>
      <c r="J182" s="1"/>
      <c r="K182" s="1"/>
      <c r="P182" s="1"/>
      <c r="Q182" s="1"/>
      <c r="R182" s="1"/>
      <c r="S182" s="1"/>
    </row>
    <row r="183" spans="1:19" ht="15.75" thickBot="1" x14ac:dyDescent="0.3">
      <c r="A183" s="253"/>
      <c r="B183" s="207"/>
      <c r="C183" s="254" t="s">
        <v>523</v>
      </c>
      <c r="D183" s="48"/>
      <c r="E183" s="255"/>
      <c r="F183" s="256"/>
      <c r="G183" s="109"/>
      <c r="H183" s="144"/>
      <c r="I183" s="52"/>
      <c r="J183" s="1"/>
      <c r="K183" s="1"/>
      <c r="P183" s="1"/>
      <c r="Q183" s="1"/>
      <c r="R183" s="1"/>
      <c r="S183" s="1"/>
    </row>
    <row r="184" spans="1:19" x14ac:dyDescent="0.25">
      <c r="A184" s="257" t="s">
        <v>129</v>
      </c>
      <c r="B184" s="258" t="s">
        <v>9</v>
      </c>
      <c r="C184" s="149" t="s">
        <v>20</v>
      </c>
      <c r="D184" s="139" t="s">
        <v>14</v>
      </c>
      <c r="E184" s="139">
        <v>32</v>
      </c>
      <c r="F184" s="143"/>
      <c r="G184" s="146">
        <v>0</v>
      </c>
      <c r="H184" s="143"/>
      <c r="I184" s="65">
        <f>E184*G184</f>
        <v>0</v>
      </c>
      <c r="J184" s="1"/>
      <c r="K184" s="1"/>
      <c r="P184" s="1"/>
      <c r="Q184" s="1"/>
      <c r="R184" s="1"/>
      <c r="S184" s="1"/>
    </row>
    <row r="185" spans="1:19" ht="30" x14ac:dyDescent="0.25">
      <c r="A185" s="93" t="s">
        <v>130</v>
      </c>
      <c r="B185" s="247" t="s">
        <v>13</v>
      </c>
      <c r="C185" s="124" t="s">
        <v>205</v>
      </c>
      <c r="D185" s="12" t="s">
        <v>14</v>
      </c>
      <c r="E185" s="12">
        <v>32</v>
      </c>
      <c r="F185" s="33">
        <v>0</v>
      </c>
      <c r="G185" s="102"/>
      <c r="H185" s="113">
        <f>E185*F185</f>
        <v>0</v>
      </c>
      <c r="I185" s="15"/>
      <c r="J185" s="1"/>
      <c r="K185" s="1"/>
      <c r="P185" s="1"/>
      <c r="Q185" s="1"/>
      <c r="R185" s="1"/>
      <c r="S185" s="1"/>
    </row>
    <row r="186" spans="1:19" x14ac:dyDescent="0.25">
      <c r="A186" s="29" t="s">
        <v>144</v>
      </c>
      <c r="B186" s="247" t="s">
        <v>13</v>
      </c>
      <c r="C186" s="73" t="s">
        <v>206</v>
      </c>
      <c r="D186" s="12" t="s">
        <v>14</v>
      </c>
      <c r="E186" s="12">
        <v>32</v>
      </c>
      <c r="F186" s="33">
        <v>0</v>
      </c>
      <c r="G186" s="102"/>
      <c r="H186" s="113">
        <f>E186*F186</f>
        <v>0</v>
      </c>
      <c r="I186" s="15"/>
      <c r="J186" s="1"/>
      <c r="K186" s="1"/>
      <c r="P186" s="1"/>
      <c r="Q186" s="1"/>
      <c r="R186" s="1"/>
      <c r="S186" s="1"/>
    </row>
    <row r="187" spans="1:19" ht="42.75" x14ac:dyDescent="0.25">
      <c r="A187" s="26" t="s">
        <v>793</v>
      </c>
      <c r="B187" s="259" t="s">
        <v>9</v>
      </c>
      <c r="C187" s="74" t="s">
        <v>53</v>
      </c>
      <c r="D187" s="18" t="s">
        <v>54</v>
      </c>
      <c r="E187" s="310">
        <f>9.86+20.07+0.1*77</f>
        <v>37.630000000000003</v>
      </c>
      <c r="F187" s="28"/>
      <c r="G187" s="117">
        <v>0</v>
      </c>
      <c r="H187" s="103"/>
      <c r="I187" s="58">
        <f>E187*G187</f>
        <v>0</v>
      </c>
      <c r="J187" s="1"/>
      <c r="K187" s="1"/>
      <c r="P187" s="1"/>
      <c r="Q187" s="1"/>
      <c r="R187" s="1"/>
      <c r="S187" s="1"/>
    </row>
    <row r="188" spans="1:19" x14ac:dyDescent="0.25">
      <c r="A188" s="29" t="s">
        <v>131</v>
      </c>
      <c r="B188" s="205" t="s">
        <v>13</v>
      </c>
      <c r="C188" s="70" t="s">
        <v>55</v>
      </c>
      <c r="D188" s="71" t="s">
        <v>38</v>
      </c>
      <c r="E188" s="72">
        <f>0.606*E187</f>
        <v>22.8</v>
      </c>
      <c r="F188" s="33">
        <v>0</v>
      </c>
      <c r="G188" s="15"/>
      <c r="H188" s="33">
        <f t="shared" ref="H188:H192" si="19">E188*F188</f>
        <v>0</v>
      </c>
      <c r="I188" s="15"/>
      <c r="J188" s="1"/>
      <c r="K188" s="1"/>
      <c r="P188" s="1"/>
      <c r="Q188" s="1"/>
      <c r="R188" s="1"/>
      <c r="S188" s="1"/>
    </row>
    <row r="189" spans="1:19" ht="17.25" customHeight="1" x14ac:dyDescent="0.25">
      <c r="A189" s="29" t="s">
        <v>132</v>
      </c>
      <c r="B189" s="247" t="s">
        <v>13</v>
      </c>
      <c r="C189" s="124" t="s">
        <v>207</v>
      </c>
      <c r="D189" s="12" t="s">
        <v>58</v>
      </c>
      <c r="E189" s="311">
        <v>31.4</v>
      </c>
      <c r="F189" s="33">
        <v>0</v>
      </c>
      <c r="G189" s="102"/>
      <c r="H189" s="113">
        <f t="shared" si="19"/>
        <v>0</v>
      </c>
      <c r="I189" s="15"/>
      <c r="J189" s="1"/>
      <c r="K189" s="1"/>
      <c r="P189" s="1"/>
      <c r="Q189" s="1"/>
      <c r="R189" s="1"/>
      <c r="S189" s="1"/>
    </row>
    <row r="190" spans="1:19" ht="18" customHeight="1" x14ac:dyDescent="0.25">
      <c r="A190" s="29" t="s">
        <v>794</v>
      </c>
      <c r="B190" s="247" t="s">
        <v>13</v>
      </c>
      <c r="C190" s="124" t="s">
        <v>208</v>
      </c>
      <c r="D190" s="12" t="s">
        <v>58</v>
      </c>
      <c r="E190" s="311">
        <v>63.9</v>
      </c>
      <c r="F190" s="33">
        <v>0</v>
      </c>
      <c r="G190" s="102"/>
      <c r="H190" s="113">
        <f t="shared" si="19"/>
        <v>0</v>
      </c>
      <c r="I190" s="15"/>
      <c r="J190" s="1"/>
      <c r="K190" s="1"/>
      <c r="P190" s="1"/>
      <c r="Q190" s="1"/>
      <c r="R190" s="1"/>
      <c r="S190" s="1"/>
    </row>
    <row r="191" spans="1:19" ht="30" x14ac:dyDescent="0.25">
      <c r="A191" s="29" t="s">
        <v>795</v>
      </c>
      <c r="B191" s="247" t="s">
        <v>13</v>
      </c>
      <c r="C191" s="124" t="s">
        <v>154</v>
      </c>
      <c r="D191" s="12" t="s">
        <v>14</v>
      </c>
      <c r="E191" s="12">
        <v>45</v>
      </c>
      <c r="F191" s="33">
        <v>0</v>
      </c>
      <c r="G191" s="102"/>
      <c r="H191" s="113">
        <f t="shared" si="19"/>
        <v>0</v>
      </c>
      <c r="I191" s="15"/>
      <c r="J191" s="1"/>
      <c r="K191" s="1"/>
      <c r="P191" s="1"/>
      <c r="Q191" s="1"/>
      <c r="R191" s="1"/>
      <c r="S191" s="1"/>
    </row>
    <row r="192" spans="1:19" ht="30" x14ac:dyDescent="0.25">
      <c r="A192" s="29" t="s">
        <v>796</v>
      </c>
      <c r="B192" s="247" t="s">
        <v>13</v>
      </c>
      <c r="C192" s="124" t="s">
        <v>159</v>
      </c>
      <c r="D192" s="12" t="s">
        <v>14</v>
      </c>
      <c r="E192" s="311">
        <v>32</v>
      </c>
      <c r="F192" s="33">
        <v>0</v>
      </c>
      <c r="G192" s="102"/>
      <c r="H192" s="113">
        <f t="shared" si="19"/>
        <v>0</v>
      </c>
      <c r="I192" s="15"/>
      <c r="J192" s="1"/>
      <c r="K192" s="1"/>
      <c r="P192" s="1"/>
      <c r="Q192" s="1"/>
      <c r="R192" s="1"/>
      <c r="S192" s="1"/>
    </row>
    <row r="193" spans="1:19" ht="28.5" x14ac:dyDescent="0.25">
      <c r="A193" s="26" t="s">
        <v>797</v>
      </c>
      <c r="B193" s="259" t="s">
        <v>9</v>
      </c>
      <c r="C193" s="17" t="s">
        <v>211</v>
      </c>
      <c r="D193" s="19" t="s">
        <v>54</v>
      </c>
      <c r="E193" s="18">
        <v>22.4</v>
      </c>
      <c r="F193" s="28"/>
      <c r="G193" s="117">
        <v>0</v>
      </c>
      <c r="H193" s="103"/>
      <c r="I193" s="58">
        <f>E193*G193</f>
        <v>0</v>
      </c>
      <c r="J193" s="1"/>
      <c r="K193" s="1"/>
      <c r="P193" s="1"/>
      <c r="Q193" s="1"/>
      <c r="R193" s="1"/>
      <c r="S193" s="1"/>
    </row>
    <row r="194" spans="1:19" x14ac:dyDescent="0.25">
      <c r="A194" s="93" t="s">
        <v>133</v>
      </c>
      <c r="B194" s="247" t="s">
        <v>13</v>
      </c>
      <c r="C194" s="188" t="s">
        <v>209</v>
      </c>
      <c r="D194" s="90" t="s">
        <v>54</v>
      </c>
      <c r="E194" s="12">
        <f>1.1*E193</f>
        <v>24.64</v>
      </c>
      <c r="F194" s="33">
        <v>0</v>
      </c>
      <c r="G194" s="102"/>
      <c r="H194" s="113">
        <f>E194*F194</f>
        <v>0</v>
      </c>
      <c r="I194" s="15"/>
      <c r="J194" s="1"/>
      <c r="K194" s="1"/>
      <c r="P194" s="1"/>
      <c r="Q194" s="1"/>
      <c r="R194" s="1"/>
      <c r="S194" s="1"/>
    </row>
    <row r="195" spans="1:19" ht="15.75" thickBot="1" x14ac:dyDescent="0.3">
      <c r="A195" s="129" t="s">
        <v>798</v>
      </c>
      <c r="B195" s="248" t="s">
        <v>13</v>
      </c>
      <c r="C195" s="91" t="s">
        <v>210</v>
      </c>
      <c r="D195" s="92" t="s">
        <v>38</v>
      </c>
      <c r="E195" s="141">
        <f>0.7*E193</f>
        <v>15.68</v>
      </c>
      <c r="F195" s="186">
        <v>0</v>
      </c>
      <c r="G195" s="114"/>
      <c r="H195" s="120">
        <f>E195*F195</f>
        <v>0</v>
      </c>
      <c r="I195" s="127"/>
      <c r="J195" s="1"/>
      <c r="K195" s="1"/>
      <c r="P195" s="1"/>
      <c r="Q195" s="1"/>
      <c r="R195" s="1"/>
      <c r="S195" s="1"/>
    </row>
    <row r="196" spans="1:19" ht="15.75" thickBot="1" x14ac:dyDescent="0.3">
      <c r="A196" s="83"/>
      <c r="B196" s="237"/>
      <c r="C196" s="268" t="s">
        <v>44</v>
      </c>
      <c r="D196" s="49"/>
      <c r="E196" s="49"/>
      <c r="F196" s="132"/>
      <c r="G196" s="109"/>
      <c r="H196" s="121">
        <f>SUM(H184:H195)</f>
        <v>0</v>
      </c>
      <c r="I196" s="86">
        <f>SUM(I184:I195)</f>
        <v>0</v>
      </c>
      <c r="J196" s="1"/>
      <c r="K196" s="1"/>
      <c r="P196" s="1"/>
      <c r="Q196" s="1"/>
      <c r="R196" s="1"/>
      <c r="S196" s="1"/>
    </row>
    <row r="197" spans="1:19" ht="15.75" thickBot="1" x14ac:dyDescent="0.3">
      <c r="A197" s="182"/>
      <c r="B197" s="224"/>
      <c r="C197" s="272" t="s">
        <v>418</v>
      </c>
      <c r="D197" s="105"/>
      <c r="E197" s="105"/>
      <c r="F197" s="153"/>
      <c r="G197" s="154"/>
      <c r="H197" s="273">
        <f>H21+H103+H182+H196</f>
        <v>0</v>
      </c>
      <c r="I197" s="274">
        <f>I21+I103+I182+I196</f>
        <v>0</v>
      </c>
      <c r="J197" s="1"/>
      <c r="K197" s="1"/>
      <c r="P197" s="1"/>
      <c r="Q197" s="1"/>
      <c r="R197" s="1"/>
      <c r="S197" s="1"/>
    </row>
    <row r="198" spans="1:19" ht="15.75" thickBot="1" x14ac:dyDescent="0.3">
      <c r="A198" s="182"/>
      <c r="B198" s="275"/>
      <c r="C198" s="272" t="s">
        <v>419</v>
      </c>
      <c r="D198" s="105"/>
      <c r="E198" s="105"/>
      <c r="F198" s="153"/>
      <c r="G198" s="154"/>
      <c r="H198" s="273"/>
      <c r="I198" s="274">
        <f>H197+I197</f>
        <v>0</v>
      </c>
      <c r="J198" s="1"/>
      <c r="K198" s="1"/>
      <c r="P198" s="1"/>
      <c r="Q198" s="1"/>
      <c r="R198" s="1"/>
      <c r="S198" s="1"/>
    </row>
    <row r="199" spans="1:19" ht="15.75" thickBot="1" x14ac:dyDescent="0.3">
      <c r="A199" s="140"/>
      <c r="B199" s="84" t="s">
        <v>420</v>
      </c>
      <c r="C199" s="47" t="s">
        <v>221</v>
      </c>
      <c r="D199" s="49"/>
      <c r="E199" s="49"/>
      <c r="F199" s="132"/>
      <c r="G199" s="109"/>
      <c r="H199" s="121"/>
      <c r="I199" s="86"/>
      <c r="J199" s="1"/>
      <c r="K199" s="1"/>
      <c r="P199" s="1"/>
      <c r="Q199" s="1"/>
      <c r="R199" s="1"/>
      <c r="S199" s="1"/>
    </row>
    <row r="200" spans="1:19" ht="15.75" thickBot="1" x14ac:dyDescent="0.3">
      <c r="A200" s="140"/>
      <c r="B200" s="207"/>
      <c r="C200" s="47" t="s">
        <v>220</v>
      </c>
      <c r="D200" s="48"/>
      <c r="E200" s="48"/>
      <c r="F200" s="132"/>
      <c r="G200" s="109"/>
      <c r="H200" s="99"/>
      <c r="I200" s="86"/>
      <c r="J200" s="1"/>
      <c r="K200" s="1"/>
      <c r="P200" s="1"/>
      <c r="Q200" s="1"/>
      <c r="R200" s="1"/>
      <c r="S200" s="1"/>
    </row>
    <row r="201" spans="1:19" ht="42.75" x14ac:dyDescent="0.25">
      <c r="A201" s="139">
        <v>1</v>
      </c>
      <c r="B201" s="210" t="s">
        <v>9</v>
      </c>
      <c r="C201" s="74" t="s">
        <v>217</v>
      </c>
      <c r="D201" s="88" t="s">
        <v>54</v>
      </c>
      <c r="E201" s="88">
        <f>0.33*2</f>
        <v>0.66</v>
      </c>
      <c r="F201" s="150"/>
      <c r="G201" s="65">
        <v>0</v>
      </c>
      <c r="H201" s="150"/>
      <c r="I201" s="65">
        <f>E201*G201</f>
        <v>0</v>
      </c>
      <c r="J201" s="1"/>
      <c r="K201" s="1"/>
      <c r="P201" s="1"/>
      <c r="Q201" s="1"/>
      <c r="R201" s="1"/>
      <c r="S201" s="1"/>
    </row>
    <row r="202" spans="1:19" x14ac:dyDescent="0.25">
      <c r="A202" s="10" t="s">
        <v>12</v>
      </c>
      <c r="B202" s="211" t="s">
        <v>13</v>
      </c>
      <c r="C202" s="11" t="s">
        <v>55</v>
      </c>
      <c r="D202" s="20" t="s">
        <v>38</v>
      </c>
      <c r="E202" s="76">
        <f>1.22*E201</f>
        <v>0.81</v>
      </c>
      <c r="F202" s="33">
        <v>0</v>
      </c>
      <c r="G202" s="15"/>
      <c r="H202" s="33">
        <f t="shared" ref="H202:H203" si="20">E202*F202</f>
        <v>0</v>
      </c>
      <c r="I202" s="15"/>
      <c r="J202" s="1"/>
      <c r="K202" s="1"/>
      <c r="P202" s="1"/>
      <c r="Q202" s="1"/>
      <c r="R202" s="1"/>
      <c r="S202" s="1"/>
    </row>
    <row r="203" spans="1:19" x14ac:dyDescent="0.25">
      <c r="A203" s="29" t="s">
        <v>15</v>
      </c>
      <c r="B203" s="205" t="s">
        <v>13</v>
      </c>
      <c r="C203" s="11" t="s">
        <v>216</v>
      </c>
      <c r="D203" s="20" t="s">
        <v>58</v>
      </c>
      <c r="E203" s="20">
        <v>0.6</v>
      </c>
      <c r="F203" s="33">
        <v>0</v>
      </c>
      <c r="G203" s="15"/>
      <c r="H203" s="33">
        <f t="shared" si="20"/>
        <v>0</v>
      </c>
      <c r="I203" s="15"/>
      <c r="J203" s="1"/>
      <c r="K203" s="1"/>
      <c r="P203" s="1"/>
      <c r="Q203" s="1"/>
      <c r="R203" s="1"/>
      <c r="S203" s="1"/>
    </row>
    <row r="204" spans="1:19" ht="28.5" x14ac:dyDescent="0.25">
      <c r="A204" s="16" t="s">
        <v>16</v>
      </c>
      <c r="B204" s="212" t="s">
        <v>9</v>
      </c>
      <c r="C204" s="295" t="s">
        <v>67</v>
      </c>
      <c r="D204" s="18" t="s">
        <v>14</v>
      </c>
      <c r="E204" s="310">
        <v>2</v>
      </c>
      <c r="F204" s="13"/>
      <c r="G204" s="117">
        <v>0</v>
      </c>
      <c r="H204" s="103"/>
      <c r="I204" s="58">
        <f>E204*G204</f>
        <v>0</v>
      </c>
      <c r="J204" s="1"/>
      <c r="K204" s="276"/>
      <c r="P204" s="1"/>
      <c r="Q204" s="1"/>
      <c r="R204" s="1"/>
      <c r="S204" s="1"/>
    </row>
    <row r="205" spans="1:19" x14ac:dyDescent="0.25">
      <c r="A205" s="29" t="s">
        <v>17</v>
      </c>
      <c r="B205" s="211" t="s">
        <v>13</v>
      </c>
      <c r="C205" s="70" t="s">
        <v>218</v>
      </c>
      <c r="D205" s="12" t="s">
        <v>14</v>
      </c>
      <c r="E205" s="12">
        <v>2</v>
      </c>
      <c r="F205" s="14">
        <v>0</v>
      </c>
      <c r="G205" s="102"/>
      <c r="H205" s="113">
        <f>E205*F205</f>
        <v>0</v>
      </c>
      <c r="I205" s="15"/>
      <c r="J205" s="1"/>
      <c r="K205" s="1"/>
      <c r="P205" s="1"/>
      <c r="Q205" s="1"/>
      <c r="R205" s="1"/>
      <c r="S205" s="1"/>
    </row>
    <row r="206" spans="1:19" ht="28.5" x14ac:dyDescent="0.25">
      <c r="A206" s="16" t="s">
        <v>19</v>
      </c>
      <c r="B206" s="212" t="s">
        <v>9</v>
      </c>
      <c r="C206" s="295" t="s">
        <v>562</v>
      </c>
      <c r="D206" s="18" t="s">
        <v>14</v>
      </c>
      <c r="E206" s="310">
        <v>2</v>
      </c>
      <c r="F206" s="13"/>
      <c r="G206" s="117">
        <v>0</v>
      </c>
      <c r="H206" s="103"/>
      <c r="I206" s="58">
        <f>E206*G206</f>
        <v>0</v>
      </c>
      <c r="J206" s="1"/>
      <c r="K206" s="1"/>
      <c r="P206" s="1"/>
      <c r="Q206" s="1"/>
      <c r="R206" s="1"/>
      <c r="S206" s="1"/>
    </row>
    <row r="207" spans="1:19" ht="30.75" thickBot="1" x14ac:dyDescent="0.3">
      <c r="A207" s="54" t="s">
        <v>21</v>
      </c>
      <c r="B207" s="213" t="s">
        <v>13</v>
      </c>
      <c r="C207" s="122" t="s">
        <v>219</v>
      </c>
      <c r="D207" s="141" t="s">
        <v>14</v>
      </c>
      <c r="E207" s="141">
        <v>2</v>
      </c>
      <c r="F207" s="142">
        <v>0</v>
      </c>
      <c r="G207" s="114"/>
      <c r="H207" s="120">
        <f>E207*F207</f>
        <v>0</v>
      </c>
      <c r="I207" s="127"/>
      <c r="J207" s="1"/>
      <c r="K207" s="1"/>
      <c r="P207" s="1"/>
      <c r="Q207" s="1"/>
      <c r="R207" s="1"/>
      <c r="S207" s="1"/>
    </row>
    <row r="208" spans="1:19" ht="15.75" thickBot="1" x14ac:dyDescent="0.3">
      <c r="A208" s="45"/>
      <c r="B208" s="214"/>
      <c r="C208" s="278" t="s">
        <v>417</v>
      </c>
      <c r="D208" s="49"/>
      <c r="E208" s="49"/>
      <c r="F208" s="51"/>
      <c r="G208" s="109"/>
      <c r="H208" s="121">
        <f>SUM(H202:H207)</f>
        <v>0</v>
      </c>
      <c r="I208" s="86">
        <f>SUM(I201:I207)</f>
        <v>0</v>
      </c>
      <c r="J208" s="1"/>
      <c r="K208" s="1"/>
      <c r="P208" s="1"/>
      <c r="Q208" s="1"/>
      <c r="R208" s="1"/>
      <c r="S208" s="1"/>
    </row>
    <row r="209" spans="1:19" ht="15.75" thickBot="1" x14ac:dyDescent="0.3">
      <c r="A209" s="45"/>
      <c r="B209" s="214"/>
      <c r="C209" s="145" t="s">
        <v>563</v>
      </c>
      <c r="D209" s="49"/>
      <c r="E209" s="49"/>
      <c r="F209" s="51"/>
      <c r="G209" s="109"/>
      <c r="H209" s="144"/>
      <c r="I209" s="52"/>
      <c r="J209" s="1"/>
      <c r="K209" s="1"/>
      <c r="P209" s="1"/>
      <c r="Q209" s="1"/>
      <c r="R209" s="1"/>
      <c r="S209" s="1"/>
    </row>
    <row r="210" spans="1:19" ht="42.75" x14ac:dyDescent="0.25">
      <c r="A210" s="100" t="s">
        <v>23</v>
      </c>
      <c r="B210" s="210" t="s">
        <v>9</v>
      </c>
      <c r="C210" s="74" t="s">
        <v>53</v>
      </c>
      <c r="D210" s="18" t="s">
        <v>54</v>
      </c>
      <c r="E210" s="18">
        <v>1.18</v>
      </c>
      <c r="F210" s="28"/>
      <c r="G210" s="117">
        <v>0</v>
      </c>
      <c r="H210" s="103"/>
      <c r="I210" s="58">
        <f>E210*G210</f>
        <v>0</v>
      </c>
      <c r="J210" s="1"/>
      <c r="K210" s="1"/>
      <c r="P210" s="1"/>
      <c r="Q210" s="1"/>
      <c r="R210" s="1"/>
      <c r="S210" s="1"/>
    </row>
    <row r="211" spans="1:19" x14ac:dyDescent="0.25">
      <c r="A211" s="10" t="s">
        <v>24</v>
      </c>
      <c r="B211" s="211" t="s">
        <v>13</v>
      </c>
      <c r="C211" s="70" t="s">
        <v>55</v>
      </c>
      <c r="D211" s="71" t="s">
        <v>38</v>
      </c>
      <c r="E211" s="72">
        <f>0.606*E210</f>
        <v>0.72</v>
      </c>
      <c r="F211" s="33">
        <v>0</v>
      </c>
      <c r="G211" s="15"/>
      <c r="H211" s="33">
        <f t="shared" ref="H211:H212" si="21">E211*F211</f>
        <v>0</v>
      </c>
      <c r="I211" s="15"/>
      <c r="J211" s="1"/>
      <c r="K211" s="1"/>
      <c r="P211" s="1"/>
      <c r="Q211" s="1"/>
      <c r="R211" s="1"/>
      <c r="S211" s="1"/>
    </row>
    <row r="212" spans="1:19" ht="30" x14ac:dyDescent="0.25">
      <c r="A212" s="10" t="s">
        <v>60</v>
      </c>
      <c r="B212" s="211" t="s">
        <v>13</v>
      </c>
      <c r="C212" s="124" t="s">
        <v>324</v>
      </c>
      <c r="D212" s="12" t="s">
        <v>58</v>
      </c>
      <c r="E212" s="12">
        <v>3</v>
      </c>
      <c r="F212" s="33">
        <v>0</v>
      </c>
      <c r="G212" s="102"/>
      <c r="H212" s="113">
        <f t="shared" si="21"/>
        <v>0</v>
      </c>
      <c r="I212" s="15"/>
      <c r="J212" s="1"/>
      <c r="K212" s="1"/>
      <c r="P212" s="1"/>
      <c r="Q212" s="1"/>
      <c r="R212" s="1"/>
      <c r="S212" s="1"/>
    </row>
    <row r="213" spans="1:19" ht="28.5" x14ac:dyDescent="0.25">
      <c r="A213" s="16" t="s">
        <v>51</v>
      </c>
      <c r="B213" s="215" t="s">
        <v>9</v>
      </c>
      <c r="C213" s="17" t="s">
        <v>222</v>
      </c>
      <c r="D213" s="18" t="s">
        <v>14</v>
      </c>
      <c r="E213" s="18">
        <v>1</v>
      </c>
      <c r="F213" s="13"/>
      <c r="G213" s="117">
        <v>0</v>
      </c>
      <c r="H213" s="103"/>
      <c r="I213" s="58">
        <f>E213*G213</f>
        <v>0</v>
      </c>
      <c r="J213" s="1"/>
      <c r="K213" s="1"/>
      <c r="P213" s="1"/>
      <c r="Q213" s="1"/>
      <c r="R213" s="1"/>
      <c r="S213" s="1"/>
    </row>
    <row r="214" spans="1:19" x14ac:dyDescent="0.25">
      <c r="A214" s="10" t="s">
        <v>26</v>
      </c>
      <c r="B214" s="211" t="s">
        <v>13</v>
      </c>
      <c r="C214" s="11" t="s">
        <v>223</v>
      </c>
      <c r="D214" s="12" t="s">
        <v>14</v>
      </c>
      <c r="E214" s="12">
        <v>1</v>
      </c>
      <c r="F214" s="14">
        <v>0</v>
      </c>
      <c r="G214" s="102"/>
      <c r="H214" s="113">
        <f>E214*F214</f>
        <v>0</v>
      </c>
      <c r="I214" s="15"/>
      <c r="J214" s="1"/>
      <c r="K214" s="1"/>
      <c r="P214" s="1"/>
      <c r="Q214" s="1"/>
      <c r="R214" s="1"/>
      <c r="S214" s="1"/>
    </row>
    <row r="215" spans="1:19" x14ac:dyDescent="0.25">
      <c r="A215" s="10" t="s">
        <v>27</v>
      </c>
      <c r="B215" s="211" t="s">
        <v>13</v>
      </c>
      <c r="C215" s="11" t="s">
        <v>224</v>
      </c>
      <c r="D215" s="12" t="s">
        <v>14</v>
      </c>
      <c r="E215" s="12">
        <v>1</v>
      </c>
      <c r="F215" s="14">
        <v>0</v>
      </c>
      <c r="G215" s="102"/>
      <c r="H215" s="113">
        <f>E215*F215</f>
        <v>0</v>
      </c>
      <c r="I215" s="15"/>
      <c r="J215" s="1"/>
      <c r="K215" s="1"/>
      <c r="P215" s="1"/>
      <c r="Q215" s="1"/>
      <c r="R215" s="1"/>
      <c r="S215" s="1"/>
    </row>
    <row r="216" spans="1:19" ht="28.5" x14ac:dyDescent="0.25">
      <c r="A216" s="16" t="s">
        <v>29</v>
      </c>
      <c r="B216" s="215" t="s">
        <v>9</v>
      </c>
      <c r="C216" s="17" t="s">
        <v>225</v>
      </c>
      <c r="D216" s="18" t="s">
        <v>54</v>
      </c>
      <c r="E216" s="18">
        <v>1.6</v>
      </c>
      <c r="F216" s="13"/>
      <c r="G216" s="117">
        <v>0</v>
      </c>
      <c r="H216" s="103"/>
      <c r="I216" s="58">
        <f>E216*G216</f>
        <v>0</v>
      </c>
      <c r="J216" s="1"/>
      <c r="K216" s="1"/>
      <c r="P216" s="1"/>
      <c r="Q216" s="1"/>
      <c r="R216" s="1"/>
      <c r="S216" s="1"/>
    </row>
    <row r="217" spans="1:19" ht="15.75" thickBot="1" x14ac:dyDescent="0.3">
      <c r="A217" s="54" t="s">
        <v>31</v>
      </c>
      <c r="B217" s="213" t="s">
        <v>13</v>
      </c>
      <c r="C217" s="55" t="s">
        <v>203</v>
      </c>
      <c r="D217" s="141" t="s">
        <v>54</v>
      </c>
      <c r="E217" s="141">
        <v>1.6</v>
      </c>
      <c r="F217" s="142">
        <v>0</v>
      </c>
      <c r="G217" s="114"/>
      <c r="H217" s="120">
        <f>E217*F217</f>
        <v>0</v>
      </c>
      <c r="I217" s="127"/>
      <c r="J217" s="1"/>
      <c r="K217" s="1"/>
      <c r="P217" s="1"/>
      <c r="Q217" s="1"/>
      <c r="R217" s="1"/>
      <c r="S217" s="1"/>
    </row>
    <row r="218" spans="1:19" ht="15.75" thickBot="1" x14ac:dyDescent="0.3">
      <c r="A218" s="45"/>
      <c r="B218" s="214"/>
      <c r="C218" s="268" t="s">
        <v>417</v>
      </c>
      <c r="D218" s="49"/>
      <c r="E218" s="49"/>
      <c r="F218" s="51"/>
      <c r="G218" s="109"/>
      <c r="H218" s="121">
        <f>SUM(H211:H217)</f>
        <v>0</v>
      </c>
      <c r="I218" s="86">
        <f>SUM(I210:I217)</f>
        <v>0</v>
      </c>
      <c r="J218" s="1"/>
      <c r="K218" s="1"/>
      <c r="P218" s="1"/>
      <c r="Q218" s="1"/>
      <c r="R218" s="1"/>
      <c r="S218" s="1"/>
    </row>
    <row r="219" spans="1:19" ht="15.75" thickBot="1" x14ac:dyDescent="0.3">
      <c r="A219" s="45"/>
      <c r="B219" s="214"/>
      <c r="C219" s="47" t="s">
        <v>226</v>
      </c>
      <c r="D219" s="49"/>
      <c r="E219" s="49"/>
      <c r="F219" s="51"/>
      <c r="G219" s="109"/>
      <c r="H219" s="144"/>
      <c r="I219" s="52"/>
      <c r="J219" s="1"/>
      <c r="K219" s="1"/>
      <c r="P219" s="1"/>
      <c r="Q219" s="1"/>
      <c r="R219" s="1"/>
      <c r="S219" s="1"/>
    </row>
    <row r="220" spans="1:19" ht="42.75" x14ac:dyDescent="0.25">
      <c r="A220" s="139">
        <v>7</v>
      </c>
      <c r="B220" s="210" t="s">
        <v>9</v>
      </c>
      <c r="C220" s="74" t="s">
        <v>217</v>
      </c>
      <c r="D220" s="88" t="s">
        <v>54</v>
      </c>
      <c r="E220" s="88">
        <f>79.08+0.64</f>
        <v>79.72</v>
      </c>
      <c r="F220" s="150"/>
      <c r="G220" s="65">
        <v>0</v>
      </c>
      <c r="H220" s="150"/>
      <c r="I220" s="65">
        <f>E220*G220</f>
        <v>0</v>
      </c>
      <c r="J220" s="1"/>
      <c r="K220" s="1"/>
      <c r="P220" s="1"/>
      <c r="Q220" s="1"/>
      <c r="R220" s="1"/>
      <c r="S220" s="1"/>
    </row>
    <row r="221" spans="1:19" x14ac:dyDescent="0.25">
      <c r="A221" s="10" t="s">
        <v>33</v>
      </c>
      <c r="B221" s="211" t="s">
        <v>13</v>
      </c>
      <c r="C221" s="11" t="s">
        <v>55</v>
      </c>
      <c r="D221" s="20" t="s">
        <v>38</v>
      </c>
      <c r="E221" s="76">
        <f>1.22*E220</f>
        <v>97.26</v>
      </c>
      <c r="F221" s="33">
        <v>0</v>
      </c>
      <c r="G221" s="15"/>
      <c r="H221" s="33">
        <f t="shared" ref="H221" si="22">E221*F221</f>
        <v>0</v>
      </c>
      <c r="I221" s="15"/>
      <c r="J221" s="1"/>
      <c r="K221" s="1"/>
      <c r="P221" s="1"/>
      <c r="Q221" s="1"/>
      <c r="R221" s="1"/>
      <c r="S221" s="1"/>
    </row>
    <row r="222" spans="1:19" ht="30" x14ac:dyDescent="0.25">
      <c r="A222" s="10" t="s">
        <v>34</v>
      </c>
      <c r="B222" s="211" t="s">
        <v>13</v>
      </c>
      <c r="C222" s="277" t="s">
        <v>227</v>
      </c>
      <c r="D222" s="12" t="s">
        <v>58</v>
      </c>
      <c r="E222" s="12">
        <v>0.1</v>
      </c>
      <c r="F222" s="14">
        <v>0</v>
      </c>
      <c r="G222" s="102"/>
      <c r="H222" s="113">
        <f>E222*F222</f>
        <v>0</v>
      </c>
      <c r="I222" s="15"/>
      <c r="J222" s="1"/>
      <c r="K222" s="1"/>
      <c r="P222" s="1"/>
      <c r="Q222" s="1"/>
      <c r="R222" s="1"/>
      <c r="S222" s="1"/>
    </row>
    <row r="223" spans="1:19" ht="30" x14ac:dyDescent="0.25">
      <c r="A223" s="10" t="s">
        <v>35</v>
      </c>
      <c r="B223" s="211" t="s">
        <v>13</v>
      </c>
      <c r="C223" s="70" t="s">
        <v>228</v>
      </c>
      <c r="D223" s="12" t="s">
        <v>58</v>
      </c>
      <c r="E223" s="12">
        <v>65.8</v>
      </c>
      <c r="F223" s="14">
        <v>0</v>
      </c>
      <c r="G223" s="102"/>
      <c r="H223" s="113">
        <f t="shared" ref="H223:H225" si="23">E223*F223</f>
        <v>0</v>
      </c>
      <c r="I223" s="15"/>
      <c r="J223" s="1"/>
      <c r="K223" s="1"/>
      <c r="P223" s="1"/>
      <c r="Q223" s="1"/>
      <c r="R223" s="1"/>
      <c r="S223" s="1"/>
    </row>
    <row r="224" spans="1:19" ht="30" x14ac:dyDescent="0.25">
      <c r="A224" s="10" t="s">
        <v>151</v>
      </c>
      <c r="B224" s="211" t="s">
        <v>13</v>
      </c>
      <c r="C224" s="70" t="s">
        <v>229</v>
      </c>
      <c r="D224" s="20" t="s">
        <v>14</v>
      </c>
      <c r="E224" s="20">
        <v>2</v>
      </c>
      <c r="F224" s="14">
        <v>0</v>
      </c>
      <c r="G224" s="102"/>
      <c r="H224" s="113">
        <f t="shared" si="23"/>
        <v>0</v>
      </c>
      <c r="I224" s="15"/>
      <c r="J224" s="1"/>
      <c r="K224" s="1"/>
      <c r="P224" s="1"/>
      <c r="Q224" s="1"/>
      <c r="R224" s="1"/>
      <c r="S224" s="1"/>
    </row>
    <row r="225" spans="1:19" x14ac:dyDescent="0.25">
      <c r="A225" s="10" t="s">
        <v>152</v>
      </c>
      <c r="B225" s="211" t="s">
        <v>13</v>
      </c>
      <c r="C225" s="70" t="s">
        <v>230</v>
      </c>
      <c r="D225" s="20" t="s">
        <v>54</v>
      </c>
      <c r="E225" s="20">
        <v>0.1</v>
      </c>
      <c r="F225" s="14">
        <v>0</v>
      </c>
      <c r="G225" s="102"/>
      <c r="H225" s="113">
        <f t="shared" si="23"/>
        <v>0</v>
      </c>
      <c r="I225" s="15"/>
      <c r="J225" s="1"/>
      <c r="K225" s="1"/>
      <c r="P225" s="1"/>
      <c r="Q225" s="1"/>
      <c r="R225" s="1"/>
      <c r="S225" s="1"/>
    </row>
    <row r="226" spans="1:19" x14ac:dyDescent="0.25">
      <c r="A226" s="16" t="s">
        <v>36</v>
      </c>
      <c r="B226" s="294" t="s">
        <v>9</v>
      </c>
      <c r="C226" s="295" t="s">
        <v>468</v>
      </c>
      <c r="D226" s="19" t="s">
        <v>14</v>
      </c>
      <c r="E226" s="19">
        <v>1</v>
      </c>
      <c r="F226" s="28"/>
      <c r="G226" s="117">
        <v>0</v>
      </c>
      <c r="H226" s="103"/>
      <c r="I226" s="58">
        <f>E226*G226</f>
        <v>0</v>
      </c>
      <c r="J226" s="1"/>
      <c r="K226" s="1"/>
      <c r="P226" s="1"/>
      <c r="Q226" s="1"/>
      <c r="R226" s="1"/>
      <c r="S226" s="1"/>
    </row>
    <row r="227" spans="1:19" x14ac:dyDescent="0.25">
      <c r="A227" s="10" t="s">
        <v>37</v>
      </c>
      <c r="B227" s="229" t="s">
        <v>13</v>
      </c>
      <c r="C227" s="70" t="s">
        <v>328</v>
      </c>
      <c r="D227" s="20" t="s">
        <v>14</v>
      </c>
      <c r="E227" s="20">
        <v>1</v>
      </c>
      <c r="F227" s="33">
        <v>0</v>
      </c>
      <c r="G227" s="102"/>
      <c r="H227" s="113">
        <f>E227*F227</f>
        <v>0</v>
      </c>
      <c r="I227" s="15"/>
      <c r="J227" s="1"/>
      <c r="K227" s="1"/>
      <c r="P227" s="1"/>
      <c r="Q227" s="1"/>
      <c r="R227" s="1"/>
      <c r="S227" s="1"/>
    </row>
    <row r="228" spans="1:19" ht="28.5" x14ac:dyDescent="0.25">
      <c r="A228" s="95" t="s">
        <v>39</v>
      </c>
      <c r="B228" s="247" t="s">
        <v>9</v>
      </c>
      <c r="C228" s="17" t="s">
        <v>211</v>
      </c>
      <c r="D228" s="19" t="s">
        <v>54</v>
      </c>
      <c r="E228" s="18">
        <v>83</v>
      </c>
      <c r="F228" s="28"/>
      <c r="G228" s="117">
        <v>0</v>
      </c>
      <c r="H228" s="103"/>
      <c r="I228" s="58">
        <f>E228*G228</f>
        <v>0</v>
      </c>
      <c r="J228" s="1"/>
      <c r="K228" s="1"/>
      <c r="P228" s="1"/>
      <c r="Q228" s="1"/>
      <c r="R228" s="1"/>
      <c r="S228" s="1"/>
    </row>
    <row r="229" spans="1:19" x14ac:dyDescent="0.25">
      <c r="A229" s="93" t="s">
        <v>40</v>
      </c>
      <c r="B229" s="247" t="s">
        <v>13</v>
      </c>
      <c r="C229" s="188" t="s">
        <v>209</v>
      </c>
      <c r="D229" s="90" t="s">
        <v>54</v>
      </c>
      <c r="E229" s="12">
        <f>1.1*E228</f>
        <v>91.3</v>
      </c>
      <c r="F229" s="33">
        <v>0</v>
      </c>
      <c r="G229" s="102"/>
      <c r="H229" s="113">
        <f>E229*F229</f>
        <v>0</v>
      </c>
      <c r="I229" s="15"/>
      <c r="J229" s="1"/>
      <c r="K229" s="1"/>
      <c r="P229" s="1"/>
      <c r="Q229" s="1"/>
      <c r="R229" s="1"/>
      <c r="S229" s="1"/>
    </row>
    <row r="230" spans="1:19" x14ac:dyDescent="0.25">
      <c r="A230" s="131" t="s">
        <v>41</v>
      </c>
      <c r="B230" s="248" t="s">
        <v>13</v>
      </c>
      <c r="C230" s="91" t="s">
        <v>210</v>
      </c>
      <c r="D230" s="92" t="s">
        <v>38</v>
      </c>
      <c r="E230" s="141">
        <f>0.7*E228</f>
        <v>58.1</v>
      </c>
      <c r="F230" s="186">
        <v>0</v>
      </c>
      <c r="G230" s="114"/>
      <c r="H230" s="120">
        <f>E230*F230</f>
        <v>0</v>
      </c>
      <c r="I230" s="127"/>
      <c r="J230" s="1"/>
      <c r="K230" s="1"/>
      <c r="P230" s="1"/>
      <c r="Q230" s="1"/>
      <c r="R230" s="1"/>
      <c r="S230" s="1"/>
    </row>
    <row r="231" spans="1:19" ht="28.5" x14ac:dyDescent="0.25">
      <c r="A231" s="16" t="s">
        <v>242</v>
      </c>
      <c r="B231" s="228" t="s">
        <v>9</v>
      </c>
      <c r="C231" s="17" t="s">
        <v>48</v>
      </c>
      <c r="D231" s="20" t="s">
        <v>14</v>
      </c>
      <c r="E231" s="19">
        <v>1</v>
      </c>
      <c r="F231" s="13"/>
      <c r="G231" s="117">
        <v>0</v>
      </c>
      <c r="H231" s="103"/>
      <c r="I231" s="58">
        <f>E231*G231</f>
        <v>0</v>
      </c>
      <c r="J231" s="1"/>
      <c r="K231" s="1"/>
      <c r="P231" s="1"/>
      <c r="Q231" s="1"/>
      <c r="R231" s="1"/>
      <c r="S231" s="1"/>
    </row>
    <row r="232" spans="1:19" ht="30.75" thickBot="1" x14ac:dyDescent="0.3">
      <c r="A232" s="54" t="s">
        <v>42</v>
      </c>
      <c r="B232" s="200" t="s">
        <v>13</v>
      </c>
      <c r="C232" s="122" t="s">
        <v>231</v>
      </c>
      <c r="D232" s="94" t="s">
        <v>14</v>
      </c>
      <c r="E232" s="94">
        <v>1</v>
      </c>
      <c r="F232" s="142">
        <v>0</v>
      </c>
      <c r="G232" s="114"/>
      <c r="H232" s="120">
        <f>E232*F232</f>
        <v>0</v>
      </c>
      <c r="I232" s="127"/>
      <c r="J232" s="1"/>
      <c r="K232" s="1"/>
      <c r="P232" s="1"/>
      <c r="Q232" s="1"/>
      <c r="R232" s="1"/>
      <c r="S232" s="1"/>
    </row>
    <row r="233" spans="1:19" ht="15.75" thickBot="1" x14ac:dyDescent="0.3">
      <c r="A233" s="45"/>
      <c r="B233" s="216"/>
      <c r="C233" s="278" t="s">
        <v>417</v>
      </c>
      <c r="D233" s="48"/>
      <c r="E233" s="48"/>
      <c r="F233" s="51"/>
      <c r="G233" s="109"/>
      <c r="H233" s="121">
        <f>SUM(H221:H232)</f>
        <v>0</v>
      </c>
      <c r="I233" s="86">
        <f>SUM(I220:I232)</f>
        <v>0</v>
      </c>
      <c r="J233" s="1"/>
      <c r="K233" s="1"/>
      <c r="P233" s="1"/>
      <c r="Q233" s="1"/>
      <c r="R233" s="1"/>
      <c r="S233" s="1"/>
    </row>
    <row r="234" spans="1:19" ht="15.75" thickBot="1" x14ac:dyDescent="0.3">
      <c r="A234" s="45"/>
      <c r="B234" s="216"/>
      <c r="C234" s="145" t="s">
        <v>564</v>
      </c>
      <c r="D234" s="48"/>
      <c r="E234" s="48"/>
      <c r="F234" s="51"/>
      <c r="G234" s="109"/>
      <c r="H234" s="144"/>
      <c r="I234" s="52"/>
      <c r="J234" s="1"/>
      <c r="K234" s="1"/>
      <c r="P234" s="1"/>
      <c r="Q234" s="1"/>
      <c r="R234" s="1"/>
      <c r="S234" s="1"/>
    </row>
    <row r="235" spans="1:19" ht="42.75" x14ac:dyDescent="0.25">
      <c r="A235" s="97" t="s">
        <v>69</v>
      </c>
      <c r="B235" s="204" t="s">
        <v>9</v>
      </c>
      <c r="C235" s="5" t="s">
        <v>53</v>
      </c>
      <c r="D235" s="53" t="s">
        <v>54</v>
      </c>
      <c r="E235" s="4">
        <v>1.74</v>
      </c>
      <c r="F235" s="8"/>
      <c r="G235" s="172">
        <v>0</v>
      </c>
      <c r="H235" s="6"/>
      <c r="I235" s="42">
        <f>E235*G235</f>
        <v>0</v>
      </c>
      <c r="J235" s="1"/>
      <c r="K235" s="1"/>
      <c r="P235" s="1"/>
      <c r="Q235" s="1"/>
      <c r="R235" s="1"/>
      <c r="S235" s="1"/>
    </row>
    <row r="236" spans="1:19" x14ac:dyDescent="0.25">
      <c r="A236" s="112" t="s">
        <v>70</v>
      </c>
      <c r="B236" s="283" t="s">
        <v>13</v>
      </c>
      <c r="C236" s="188" t="s">
        <v>165</v>
      </c>
      <c r="D236" s="90" t="s">
        <v>38</v>
      </c>
      <c r="E236" s="284">
        <f>0.606*E235</f>
        <v>1.05</v>
      </c>
      <c r="F236" s="63">
        <v>0</v>
      </c>
      <c r="G236" s="101"/>
      <c r="H236" s="126">
        <f>E236*F236</f>
        <v>0</v>
      </c>
      <c r="I236" s="119"/>
      <c r="J236" s="1"/>
      <c r="K236" s="1"/>
      <c r="P236" s="1"/>
      <c r="Q236" s="1"/>
      <c r="R236" s="1"/>
      <c r="S236" s="1"/>
    </row>
    <row r="237" spans="1:19" ht="30" x14ac:dyDescent="0.25">
      <c r="A237" s="10" t="s">
        <v>71</v>
      </c>
      <c r="B237" s="229" t="s">
        <v>13</v>
      </c>
      <c r="C237" s="70" t="s">
        <v>207</v>
      </c>
      <c r="D237" s="20" t="s">
        <v>58</v>
      </c>
      <c r="E237" s="12">
        <v>3.2</v>
      </c>
      <c r="F237" s="14">
        <v>0</v>
      </c>
      <c r="G237" s="102"/>
      <c r="H237" s="113">
        <f>E237*F237</f>
        <v>0</v>
      </c>
      <c r="I237" s="15"/>
      <c r="J237" s="1"/>
      <c r="K237" s="1">
        <v>1.26</v>
      </c>
      <c r="P237" s="1"/>
      <c r="Q237" s="1"/>
      <c r="R237" s="1"/>
      <c r="S237" s="1"/>
    </row>
    <row r="238" spans="1:19" x14ac:dyDescent="0.25">
      <c r="A238" s="112" t="s">
        <v>72</v>
      </c>
      <c r="B238" s="229" t="s">
        <v>13</v>
      </c>
      <c r="C238" s="70" t="s">
        <v>234</v>
      </c>
      <c r="D238" s="20" t="s">
        <v>14</v>
      </c>
      <c r="E238" s="12">
        <v>2</v>
      </c>
      <c r="F238" s="14">
        <v>0</v>
      </c>
      <c r="G238" s="102"/>
      <c r="H238" s="113">
        <f t="shared" ref="H238:H241" si="24">E238*F238</f>
        <v>0</v>
      </c>
      <c r="I238" s="15"/>
      <c r="J238" s="1"/>
      <c r="K238" s="1">
        <f>E238*0.05</f>
        <v>0.1</v>
      </c>
      <c r="P238" s="1"/>
      <c r="Q238" s="1"/>
      <c r="R238" s="1"/>
      <c r="S238" s="1"/>
    </row>
    <row r="239" spans="1:19" x14ac:dyDescent="0.25">
      <c r="A239" s="10" t="s">
        <v>445</v>
      </c>
      <c r="B239" s="229" t="s">
        <v>13</v>
      </c>
      <c r="C239" s="70" t="s">
        <v>235</v>
      </c>
      <c r="D239" s="20" t="s">
        <v>14</v>
      </c>
      <c r="E239" s="12">
        <v>2</v>
      </c>
      <c r="F239" s="14">
        <v>0</v>
      </c>
      <c r="G239" s="102"/>
      <c r="H239" s="113">
        <f t="shared" si="24"/>
        <v>0</v>
      </c>
      <c r="I239" s="15"/>
      <c r="J239" s="1"/>
      <c r="K239" s="1">
        <f>E239*0.02</f>
        <v>0.04</v>
      </c>
      <c r="P239" s="1"/>
      <c r="Q239" s="1"/>
      <c r="R239" s="1"/>
      <c r="S239" s="1"/>
    </row>
    <row r="240" spans="1:19" x14ac:dyDescent="0.25">
      <c r="A240" s="112" t="s">
        <v>446</v>
      </c>
      <c r="B240" s="233" t="s">
        <v>13</v>
      </c>
      <c r="C240" s="70" t="s">
        <v>237</v>
      </c>
      <c r="D240" s="20" t="s">
        <v>14</v>
      </c>
      <c r="E240" s="20">
        <v>2</v>
      </c>
      <c r="F240" s="14">
        <v>0</v>
      </c>
      <c r="G240" s="189"/>
      <c r="H240" s="113">
        <f t="shared" si="24"/>
        <v>0</v>
      </c>
      <c r="I240" s="190"/>
      <c r="J240" s="1"/>
      <c r="K240" s="1">
        <f>E240*0.07</f>
        <v>0.14000000000000001</v>
      </c>
      <c r="P240" s="1"/>
      <c r="Q240" s="1"/>
      <c r="R240" s="1"/>
      <c r="S240" s="1"/>
    </row>
    <row r="241" spans="1:19" x14ac:dyDescent="0.25">
      <c r="A241" s="10" t="s">
        <v>799</v>
      </c>
      <c r="B241" s="233" t="s">
        <v>13</v>
      </c>
      <c r="C241" s="70" t="s">
        <v>238</v>
      </c>
      <c r="D241" s="20" t="s">
        <v>14</v>
      </c>
      <c r="E241" s="71">
        <v>2</v>
      </c>
      <c r="F241" s="14">
        <v>0</v>
      </c>
      <c r="G241" s="189"/>
      <c r="H241" s="113">
        <f t="shared" si="24"/>
        <v>0</v>
      </c>
      <c r="I241" s="190"/>
      <c r="J241" s="1"/>
      <c r="K241" s="1">
        <f>E241*0.1</f>
        <v>0.2</v>
      </c>
      <c r="P241" s="1"/>
      <c r="Q241" s="1"/>
      <c r="R241" s="1"/>
      <c r="S241" s="1"/>
    </row>
    <row r="242" spans="1:19" ht="42.75" x14ac:dyDescent="0.25">
      <c r="A242" s="100" t="s">
        <v>246</v>
      </c>
      <c r="B242" s="258" t="s">
        <v>9</v>
      </c>
      <c r="C242" s="250" t="s">
        <v>153</v>
      </c>
      <c r="D242" s="88" t="s">
        <v>54</v>
      </c>
      <c r="E242" s="139">
        <f>55.54+7*0.1</f>
        <v>56.24</v>
      </c>
      <c r="F242" s="64"/>
      <c r="G242" s="146">
        <v>0</v>
      </c>
      <c r="H242" s="143"/>
      <c r="I242" s="65">
        <f>E242*G242</f>
        <v>0</v>
      </c>
      <c r="J242" s="1"/>
      <c r="K242" s="1"/>
      <c r="P242" s="1"/>
      <c r="Q242" s="1"/>
      <c r="R242" s="1"/>
      <c r="S242" s="1"/>
    </row>
    <row r="243" spans="1:19" x14ac:dyDescent="0.25">
      <c r="A243" s="112" t="s">
        <v>73</v>
      </c>
      <c r="B243" s="283" t="s">
        <v>13</v>
      </c>
      <c r="C243" s="188" t="s">
        <v>165</v>
      </c>
      <c r="D243" s="90" t="s">
        <v>38</v>
      </c>
      <c r="E243" s="284">
        <f>0.606*E242</f>
        <v>34.08</v>
      </c>
      <c r="F243" s="63">
        <v>0</v>
      </c>
      <c r="G243" s="101"/>
      <c r="H243" s="126">
        <f>E243*F243</f>
        <v>0</v>
      </c>
      <c r="I243" s="119"/>
      <c r="J243" s="1"/>
      <c r="K243" s="1"/>
      <c r="P243" s="1"/>
      <c r="Q243" s="1"/>
      <c r="R243" s="1"/>
      <c r="S243" s="1"/>
    </row>
    <row r="244" spans="1:19" ht="30" x14ac:dyDescent="0.25">
      <c r="A244" s="10" t="s">
        <v>74</v>
      </c>
      <c r="B244" s="229" t="s">
        <v>13</v>
      </c>
      <c r="C244" s="70" t="s">
        <v>208</v>
      </c>
      <c r="D244" s="20" t="s">
        <v>58</v>
      </c>
      <c r="E244" s="12">
        <f>56.2+56.8+63.8</f>
        <v>176.8</v>
      </c>
      <c r="F244" s="14">
        <v>0</v>
      </c>
      <c r="G244" s="102"/>
      <c r="H244" s="113">
        <f>E244*F244</f>
        <v>0</v>
      </c>
      <c r="I244" s="15"/>
      <c r="J244" s="1"/>
      <c r="K244" s="1"/>
      <c r="P244" s="1"/>
      <c r="Q244" s="1"/>
      <c r="R244" s="1"/>
      <c r="S244" s="1"/>
    </row>
    <row r="245" spans="1:19" x14ac:dyDescent="0.25">
      <c r="A245" s="112" t="s">
        <v>75</v>
      </c>
      <c r="B245" s="233" t="s">
        <v>13</v>
      </c>
      <c r="C245" s="70" t="s">
        <v>236</v>
      </c>
      <c r="D245" s="20" t="s">
        <v>14</v>
      </c>
      <c r="E245" s="20">
        <v>7</v>
      </c>
      <c r="F245" s="14">
        <v>0</v>
      </c>
      <c r="G245" s="189"/>
      <c r="H245" s="113">
        <f>E245*F245</f>
        <v>0</v>
      </c>
      <c r="I245" s="190"/>
      <c r="J245" s="1"/>
      <c r="K245" s="1"/>
      <c r="P245" s="1"/>
      <c r="Q245" s="1"/>
      <c r="R245" s="1"/>
      <c r="S245" s="1"/>
    </row>
    <row r="246" spans="1:19" x14ac:dyDescent="0.25">
      <c r="A246" s="16" t="s">
        <v>76</v>
      </c>
      <c r="B246" s="217" t="s">
        <v>9</v>
      </c>
      <c r="C246" s="21" t="s">
        <v>240</v>
      </c>
      <c r="D246" s="22" t="s">
        <v>14</v>
      </c>
      <c r="E246" s="22">
        <v>3</v>
      </c>
      <c r="F246" s="23"/>
      <c r="G246" s="118">
        <v>0</v>
      </c>
      <c r="H246" s="103"/>
      <c r="I246" s="24">
        <f>E246*G246</f>
        <v>0</v>
      </c>
      <c r="J246" s="1"/>
      <c r="K246" s="1"/>
      <c r="P246" s="1"/>
      <c r="Q246" s="1"/>
      <c r="R246" s="1"/>
      <c r="S246" s="1"/>
    </row>
    <row r="247" spans="1:19" ht="30" x14ac:dyDescent="0.25">
      <c r="A247" s="10" t="s">
        <v>77</v>
      </c>
      <c r="B247" s="218" t="s">
        <v>13</v>
      </c>
      <c r="C247" s="128" t="s">
        <v>241</v>
      </c>
      <c r="D247" s="25" t="s">
        <v>14</v>
      </c>
      <c r="E247" s="25">
        <v>3</v>
      </c>
      <c r="F247" s="147">
        <v>0</v>
      </c>
      <c r="G247" s="369"/>
      <c r="H247" s="148">
        <f>E247*F247</f>
        <v>0</v>
      </c>
      <c r="I247" s="15"/>
      <c r="J247" s="1"/>
      <c r="K247" s="1"/>
      <c r="P247" s="1"/>
      <c r="Q247" s="1"/>
      <c r="R247" s="1"/>
      <c r="S247" s="1"/>
    </row>
    <row r="248" spans="1:19" ht="28.5" x14ac:dyDescent="0.25">
      <c r="A248" s="26" t="s">
        <v>78</v>
      </c>
      <c r="B248" s="219" t="s">
        <v>9</v>
      </c>
      <c r="C248" s="17" t="s">
        <v>243</v>
      </c>
      <c r="D248" s="27" t="s">
        <v>14</v>
      </c>
      <c r="E248" s="370">
        <v>3</v>
      </c>
      <c r="F248" s="28"/>
      <c r="G248" s="117">
        <v>0</v>
      </c>
      <c r="H248" s="103"/>
      <c r="I248" s="58">
        <f>E248*G248</f>
        <v>0</v>
      </c>
      <c r="J248" s="1"/>
      <c r="K248" s="1"/>
      <c r="P248" s="1"/>
      <c r="Q248" s="1"/>
      <c r="R248" s="1"/>
      <c r="S248" s="1"/>
    </row>
    <row r="249" spans="1:19" ht="30" x14ac:dyDescent="0.25">
      <c r="A249" s="29" t="s">
        <v>79</v>
      </c>
      <c r="B249" s="220" t="s">
        <v>13</v>
      </c>
      <c r="C249" s="30" t="s">
        <v>337</v>
      </c>
      <c r="D249" s="31" t="s">
        <v>14</v>
      </c>
      <c r="E249" s="104">
        <v>3</v>
      </c>
      <c r="F249" s="33">
        <v>0</v>
      </c>
      <c r="G249" s="102"/>
      <c r="H249" s="113">
        <f>E249*F249</f>
        <v>0</v>
      </c>
      <c r="I249" s="15"/>
      <c r="J249" s="1"/>
      <c r="K249" s="1"/>
      <c r="P249" s="1"/>
      <c r="Q249" s="1"/>
      <c r="R249" s="1"/>
      <c r="S249" s="1"/>
    </row>
    <row r="250" spans="1:19" x14ac:dyDescent="0.25">
      <c r="A250" s="18">
        <v>15</v>
      </c>
      <c r="B250" s="221" t="s">
        <v>9</v>
      </c>
      <c r="C250" s="17" t="s">
        <v>244</v>
      </c>
      <c r="D250" s="19" t="s">
        <v>14</v>
      </c>
      <c r="E250" s="18">
        <v>3</v>
      </c>
      <c r="F250" s="28"/>
      <c r="G250" s="117">
        <v>0</v>
      </c>
      <c r="H250" s="103"/>
      <c r="I250" s="58">
        <f>E250*G250</f>
        <v>0</v>
      </c>
      <c r="J250" s="1"/>
      <c r="K250" s="1"/>
      <c r="P250" s="1"/>
      <c r="Q250" s="1"/>
      <c r="R250" s="1"/>
      <c r="S250" s="1"/>
    </row>
    <row r="251" spans="1:19" x14ac:dyDescent="0.25">
      <c r="A251" s="29" t="s">
        <v>81</v>
      </c>
      <c r="B251" s="220" t="s">
        <v>13</v>
      </c>
      <c r="C251" s="30" t="s">
        <v>245</v>
      </c>
      <c r="D251" s="31" t="s">
        <v>14</v>
      </c>
      <c r="E251" s="104">
        <v>3</v>
      </c>
      <c r="F251" s="33">
        <v>0</v>
      </c>
      <c r="G251" s="102"/>
      <c r="H251" s="113">
        <f>E251*F251</f>
        <v>0</v>
      </c>
      <c r="I251" s="15"/>
      <c r="J251" s="1"/>
      <c r="K251" s="1"/>
      <c r="P251" s="1"/>
      <c r="Q251" s="1"/>
      <c r="R251" s="1"/>
      <c r="S251" s="1"/>
    </row>
    <row r="252" spans="1:19" ht="28.5" x14ac:dyDescent="0.25">
      <c r="A252" s="26" t="s">
        <v>86</v>
      </c>
      <c r="B252" s="239" t="s">
        <v>9</v>
      </c>
      <c r="C252" s="17" t="s">
        <v>137</v>
      </c>
      <c r="D252" s="19" t="s">
        <v>14</v>
      </c>
      <c r="E252" s="19">
        <v>2</v>
      </c>
      <c r="F252" s="28"/>
      <c r="G252" s="58">
        <v>0</v>
      </c>
      <c r="H252" s="28"/>
      <c r="I252" s="58">
        <f>E252*G252</f>
        <v>0</v>
      </c>
      <c r="J252" s="1"/>
      <c r="K252" s="1"/>
      <c r="P252" s="1"/>
      <c r="Q252" s="1"/>
      <c r="R252" s="1"/>
      <c r="S252" s="1"/>
    </row>
    <row r="253" spans="1:19" x14ac:dyDescent="0.25">
      <c r="A253" s="29" t="s">
        <v>87</v>
      </c>
      <c r="B253" s="205" t="s">
        <v>13</v>
      </c>
      <c r="C253" s="11" t="s">
        <v>565</v>
      </c>
      <c r="D253" s="20" t="s">
        <v>14</v>
      </c>
      <c r="E253" s="20">
        <v>2</v>
      </c>
      <c r="F253" s="33">
        <v>0</v>
      </c>
      <c r="G253" s="58"/>
      <c r="H253" s="186">
        <f t="shared" ref="H253" si="25">E253*F253</f>
        <v>0</v>
      </c>
      <c r="I253" s="58"/>
      <c r="J253" s="1"/>
      <c r="K253" s="1"/>
      <c r="P253" s="1"/>
      <c r="Q253" s="1"/>
      <c r="R253" s="1"/>
      <c r="S253" s="1"/>
    </row>
    <row r="254" spans="1:19" x14ac:dyDescent="0.25">
      <c r="A254" s="16" t="s">
        <v>88</v>
      </c>
      <c r="B254" s="296" t="s">
        <v>9</v>
      </c>
      <c r="C254" s="17" t="s">
        <v>344</v>
      </c>
      <c r="D254" s="19" t="s">
        <v>14</v>
      </c>
      <c r="E254" s="18">
        <v>1</v>
      </c>
      <c r="F254" s="28"/>
      <c r="G254" s="117">
        <v>0</v>
      </c>
      <c r="H254" s="103"/>
      <c r="I254" s="58">
        <f>E254*G254</f>
        <v>0</v>
      </c>
      <c r="J254" s="1"/>
      <c r="K254" s="1"/>
      <c r="P254" s="1"/>
      <c r="Q254" s="1"/>
      <c r="R254" s="1"/>
      <c r="S254" s="1"/>
    </row>
    <row r="255" spans="1:19" x14ac:dyDescent="0.25">
      <c r="A255" s="10" t="s">
        <v>89</v>
      </c>
      <c r="B255" s="220" t="s">
        <v>13</v>
      </c>
      <c r="C255" s="11" t="s">
        <v>345</v>
      </c>
      <c r="D255" s="20" t="s">
        <v>14</v>
      </c>
      <c r="E255" s="12">
        <v>1</v>
      </c>
      <c r="F255" s="33">
        <v>0</v>
      </c>
      <c r="G255" s="102"/>
      <c r="H255" s="113">
        <f>E255*F255</f>
        <v>0</v>
      </c>
      <c r="I255" s="15"/>
      <c r="J255" s="1"/>
      <c r="K255" s="1"/>
      <c r="P255" s="1"/>
      <c r="Q255" s="1"/>
      <c r="R255" s="1"/>
      <c r="S255" s="1"/>
    </row>
    <row r="256" spans="1:19" ht="28.5" x14ac:dyDescent="0.25">
      <c r="A256" s="95" t="s">
        <v>92</v>
      </c>
      <c r="B256" s="259" t="s">
        <v>9</v>
      </c>
      <c r="C256" s="17" t="s">
        <v>211</v>
      </c>
      <c r="D256" s="19" t="s">
        <v>54</v>
      </c>
      <c r="E256" s="18">
        <f>19.6+19.8+22.2</f>
        <v>61.6</v>
      </c>
      <c r="F256" s="28"/>
      <c r="G256" s="117">
        <v>0</v>
      </c>
      <c r="H256" s="103"/>
      <c r="I256" s="58">
        <f>E256*G256</f>
        <v>0</v>
      </c>
      <c r="J256" s="1"/>
      <c r="K256" s="1"/>
      <c r="P256" s="1"/>
      <c r="Q256" s="1"/>
      <c r="R256" s="1"/>
      <c r="S256" s="1"/>
    </row>
    <row r="257" spans="1:19" x14ac:dyDescent="0.25">
      <c r="A257" s="93" t="s">
        <v>93</v>
      </c>
      <c r="B257" s="247" t="s">
        <v>13</v>
      </c>
      <c r="C257" s="188" t="s">
        <v>209</v>
      </c>
      <c r="D257" s="90" t="s">
        <v>54</v>
      </c>
      <c r="E257" s="12">
        <f>1.1*E256</f>
        <v>67.760000000000005</v>
      </c>
      <c r="F257" s="33">
        <v>0</v>
      </c>
      <c r="G257" s="102"/>
      <c r="H257" s="113">
        <f>E257*F257</f>
        <v>0</v>
      </c>
      <c r="I257" s="15"/>
      <c r="J257" s="1"/>
      <c r="K257" s="1"/>
      <c r="P257" s="1"/>
      <c r="Q257" s="1"/>
      <c r="R257" s="1"/>
      <c r="S257" s="1"/>
    </row>
    <row r="258" spans="1:19" x14ac:dyDescent="0.25">
      <c r="A258" s="93" t="s">
        <v>94</v>
      </c>
      <c r="B258" s="247" t="s">
        <v>13</v>
      </c>
      <c r="C258" s="188" t="s">
        <v>266</v>
      </c>
      <c r="D258" s="90" t="s">
        <v>38</v>
      </c>
      <c r="E258" s="12">
        <f>0.7*E256</f>
        <v>43.12</v>
      </c>
      <c r="F258" s="33">
        <v>0</v>
      </c>
      <c r="G258" s="102"/>
      <c r="H258" s="113">
        <f>E258*F258</f>
        <v>0</v>
      </c>
      <c r="I258" s="15"/>
      <c r="J258" s="1"/>
      <c r="K258" s="1"/>
      <c r="P258" s="1"/>
      <c r="Q258" s="1"/>
      <c r="R258" s="1"/>
      <c r="S258" s="1"/>
    </row>
    <row r="259" spans="1:19" ht="28.5" x14ac:dyDescent="0.25">
      <c r="A259" s="87" t="s">
        <v>96</v>
      </c>
      <c r="B259" s="222" t="s">
        <v>9</v>
      </c>
      <c r="C259" s="149" t="s">
        <v>247</v>
      </c>
      <c r="D259" s="139" t="s">
        <v>14</v>
      </c>
      <c r="E259" s="139">
        <v>1</v>
      </c>
      <c r="F259" s="150"/>
      <c r="G259" s="146">
        <v>0</v>
      </c>
      <c r="H259" s="143"/>
      <c r="I259" s="65">
        <f>E259*G259</f>
        <v>0</v>
      </c>
      <c r="J259" s="1"/>
      <c r="K259" s="1"/>
      <c r="P259" s="1"/>
      <c r="Q259" s="1"/>
      <c r="R259" s="1"/>
      <c r="S259" s="1"/>
    </row>
    <row r="260" spans="1:19" ht="30" x14ac:dyDescent="0.25">
      <c r="A260" s="89" t="s">
        <v>97</v>
      </c>
      <c r="B260" s="223" t="s">
        <v>13</v>
      </c>
      <c r="C260" s="137" t="s">
        <v>248</v>
      </c>
      <c r="D260" s="125" t="s">
        <v>14</v>
      </c>
      <c r="E260" s="125">
        <v>1</v>
      </c>
      <c r="F260" s="62">
        <v>0</v>
      </c>
      <c r="G260" s="101"/>
      <c r="H260" s="126">
        <f>E260*F260</f>
        <v>0</v>
      </c>
      <c r="I260" s="119"/>
      <c r="J260" s="1"/>
      <c r="K260" s="1"/>
      <c r="P260" s="1"/>
      <c r="Q260" s="1"/>
      <c r="R260" s="1"/>
      <c r="S260" s="1"/>
    </row>
    <row r="261" spans="1:19" x14ac:dyDescent="0.25">
      <c r="A261" s="87" t="s">
        <v>99</v>
      </c>
      <c r="B261" s="222" t="s">
        <v>9</v>
      </c>
      <c r="C261" s="149" t="s">
        <v>10</v>
      </c>
      <c r="D261" s="139" t="s">
        <v>14</v>
      </c>
      <c r="E261" s="139">
        <v>3</v>
      </c>
      <c r="F261" s="150"/>
      <c r="G261" s="146">
        <v>0</v>
      </c>
      <c r="H261" s="143"/>
      <c r="I261" s="65">
        <f>E261*G261</f>
        <v>0</v>
      </c>
      <c r="J261" s="1"/>
      <c r="K261" s="1"/>
      <c r="P261" s="1"/>
      <c r="Q261" s="1"/>
      <c r="R261" s="1"/>
      <c r="S261" s="1"/>
    </row>
    <row r="262" spans="1:19" ht="30.75" thickBot="1" x14ac:dyDescent="0.3">
      <c r="A262" s="151" t="s">
        <v>100</v>
      </c>
      <c r="B262" s="224" t="s">
        <v>13</v>
      </c>
      <c r="C262" s="152" t="s">
        <v>249</v>
      </c>
      <c r="D262" s="105" t="s">
        <v>14</v>
      </c>
      <c r="E262" s="105">
        <v>3</v>
      </c>
      <c r="F262" s="153">
        <v>0</v>
      </c>
      <c r="G262" s="154"/>
      <c r="H262" s="155">
        <f>E262*F262</f>
        <v>0</v>
      </c>
      <c r="I262" s="37"/>
      <c r="J262" s="1"/>
      <c r="K262" s="1"/>
      <c r="P262" s="1"/>
      <c r="Q262" s="1"/>
      <c r="R262" s="1"/>
      <c r="S262" s="1"/>
    </row>
    <row r="263" spans="1:19" ht="15.75" thickBot="1" x14ac:dyDescent="0.3">
      <c r="A263" s="157"/>
      <c r="B263" s="236"/>
      <c r="C263" s="279" t="s">
        <v>417</v>
      </c>
      <c r="D263" s="280"/>
      <c r="E263" s="280"/>
      <c r="F263" s="192"/>
      <c r="G263" s="281"/>
      <c r="H263" s="193">
        <f>SUM(H236:H262)</f>
        <v>0</v>
      </c>
      <c r="I263" s="282">
        <f>SUM(I235:I262)</f>
        <v>0</v>
      </c>
      <c r="J263" s="1"/>
      <c r="K263" s="1"/>
      <c r="P263" s="1"/>
      <c r="Q263" s="1"/>
      <c r="R263" s="1"/>
      <c r="S263" s="1"/>
    </row>
    <row r="264" spans="1:19" x14ac:dyDescent="0.25">
      <c r="A264" s="39"/>
      <c r="B264" s="208"/>
      <c r="C264" s="5" t="s">
        <v>423</v>
      </c>
      <c r="D264" s="41"/>
      <c r="E264" s="41"/>
      <c r="F264" s="81"/>
      <c r="G264" s="106"/>
      <c r="H264" s="6">
        <f>H208+H218+H233+H263</f>
        <v>0</v>
      </c>
      <c r="I264" s="42">
        <f>I208+I218+I233+I263</f>
        <v>0</v>
      </c>
      <c r="J264" s="1"/>
      <c r="K264" s="1"/>
      <c r="P264" s="1"/>
      <c r="Q264" s="1"/>
      <c r="R264" s="1"/>
      <c r="S264" s="1"/>
    </row>
    <row r="265" spans="1:19" ht="15.75" thickBot="1" x14ac:dyDescent="0.3">
      <c r="A265" s="34"/>
      <c r="B265" s="209"/>
      <c r="C265" s="43" t="s">
        <v>424</v>
      </c>
      <c r="D265" s="36"/>
      <c r="E265" s="36"/>
      <c r="F265" s="61"/>
      <c r="G265" s="107"/>
      <c r="H265" s="108"/>
      <c r="I265" s="82">
        <f>H264+I264</f>
        <v>0</v>
      </c>
      <c r="J265" s="1"/>
      <c r="K265" s="1"/>
      <c r="P265" s="1"/>
      <c r="Q265" s="1"/>
      <c r="R265" s="1"/>
      <c r="S265" s="1"/>
    </row>
    <row r="266" spans="1:19" ht="15.75" thickBot="1" x14ac:dyDescent="0.3">
      <c r="A266" s="140"/>
      <c r="B266" s="163" t="s">
        <v>422</v>
      </c>
      <c r="C266" s="156" t="s">
        <v>250</v>
      </c>
      <c r="D266" s="49"/>
      <c r="E266" s="49"/>
      <c r="F266" s="132"/>
      <c r="G266" s="109"/>
      <c r="H266" s="144"/>
      <c r="I266" s="52"/>
      <c r="J266" s="1"/>
      <c r="K266" s="1"/>
      <c r="P266" s="1"/>
      <c r="Q266" s="1"/>
      <c r="R266" s="1"/>
      <c r="S266" s="1"/>
    </row>
    <row r="267" spans="1:19" ht="15.75" thickBot="1" x14ac:dyDescent="0.3">
      <c r="A267" s="164"/>
      <c r="B267" s="225"/>
      <c r="C267" s="165" t="s">
        <v>252</v>
      </c>
      <c r="D267" s="166"/>
      <c r="E267" s="166"/>
      <c r="F267" s="167"/>
      <c r="G267" s="168"/>
      <c r="H267" s="169"/>
      <c r="I267" s="170"/>
      <c r="J267" s="1"/>
      <c r="K267" s="1"/>
      <c r="P267" s="1"/>
      <c r="Q267" s="1"/>
      <c r="R267" s="1"/>
      <c r="S267" s="1"/>
    </row>
    <row r="268" spans="1:19" ht="27.75" customHeight="1" x14ac:dyDescent="0.25">
      <c r="A268" s="4">
        <v>1</v>
      </c>
      <c r="B268" s="226" t="s">
        <v>9</v>
      </c>
      <c r="C268" s="5" t="s">
        <v>25</v>
      </c>
      <c r="D268" s="171" t="s">
        <v>11</v>
      </c>
      <c r="E268" s="4">
        <v>1</v>
      </c>
      <c r="F268" s="6"/>
      <c r="G268" s="172">
        <v>0</v>
      </c>
      <c r="H268" s="6"/>
      <c r="I268" s="42">
        <f>E268*G268</f>
        <v>0</v>
      </c>
      <c r="J268" s="1"/>
      <c r="K268" s="1"/>
      <c r="P268" s="1"/>
      <c r="Q268" s="1"/>
      <c r="R268" s="1"/>
      <c r="S268" s="1"/>
    </row>
    <row r="269" spans="1:19" x14ac:dyDescent="0.25">
      <c r="A269" s="10" t="s">
        <v>12</v>
      </c>
      <c r="B269" s="211" t="s">
        <v>13</v>
      </c>
      <c r="C269" s="70" t="s">
        <v>253</v>
      </c>
      <c r="D269" s="12" t="s">
        <v>14</v>
      </c>
      <c r="E269" s="12">
        <v>1</v>
      </c>
      <c r="F269" s="14">
        <v>0</v>
      </c>
      <c r="G269" s="102"/>
      <c r="H269" s="113">
        <f>E269*F269</f>
        <v>0</v>
      </c>
      <c r="I269" s="15"/>
      <c r="J269" s="1"/>
      <c r="K269" s="1"/>
      <c r="P269" s="1"/>
      <c r="Q269" s="1"/>
      <c r="R269" s="1"/>
      <c r="S269" s="1"/>
    </row>
    <row r="270" spans="1:19" x14ac:dyDescent="0.25">
      <c r="A270" s="10" t="s">
        <v>15</v>
      </c>
      <c r="B270" s="211" t="s">
        <v>13</v>
      </c>
      <c r="C270" s="70" t="s">
        <v>254</v>
      </c>
      <c r="D270" s="12" t="s">
        <v>14</v>
      </c>
      <c r="E270" s="12">
        <v>1</v>
      </c>
      <c r="F270" s="14">
        <v>0</v>
      </c>
      <c r="G270" s="102"/>
      <c r="H270" s="113">
        <f>E270*F270</f>
        <v>0</v>
      </c>
      <c r="I270" s="15"/>
      <c r="J270" s="1"/>
      <c r="K270" s="1"/>
      <c r="P270" s="1"/>
      <c r="Q270" s="1"/>
      <c r="R270" s="1"/>
      <c r="S270" s="1"/>
    </row>
    <row r="271" spans="1:19" x14ac:dyDescent="0.25">
      <c r="A271" s="16" t="s">
        <v>473</v>
      </c>
      <c r="B271" s="212" t="s">
        <v>9</v>
      </c>
      <c r="C271" s="295" t="s">
        <v>800</v>
      </c>
      <c r="D271" s="18" t="s">
        <v>472</v>
      </c>
      <c r="E271" s="18">
        <v>5</v>
      </c>
      <c r="F271" s="13"/>
      <c r="G271" s="117">
        <v>0</v>
      </c>
      <c r="H271" s="103"/>
      <c r="I271" s="58">
        <f>E271*G271</f>
        <v>0</v>
      </c>
      <c r="J271" s="1"/>
      <c r="K271" s="1"/>
      <c r="P271" s="1"/>
      <c r="Q271" s="1"/>
      <c r="R271" s="1"/>
      <c r="S271" s="1"/>
    </row>
    <row r="272" spans="1:19" ht="42.75" x14ac:dyDescent="0.25">
      <c r="A272" s="16" t="s">
        <v>16</v>
      </c>
      <c r="B272" s="215" t="s">
        <v>9</v>
      </c>
      <c r="C272" s="295" t="s">
        <v>255</v>
      </c>
      <c r="D272" s="18" t="s">
        <v>54</v>
      </c>
      <c r="E272" s="18">
        <f>4.02+2*1.92</f>
        <v>7.86</v>
      </c>
      <c r="F272" s="13"/>
      <c r="G272" s="117">
        <v>0</v>
      </c>
      <c r="H272" s="103"/>
      <c r="I272" s="58">
        <f>E272*G272</f>
        <v>0</v>
      </c>
      <c r="J272" s="1"/>
      <c r="K272" s="1"/>
      <c r="P272" s="1"/>
      <c r="Q272" s="1"/>
      <c r="R272" s="1"/>
      <c r="S272" s="1"/>
    </row>
    <row r="273" spans="1:19" x14ac:dyDescent="0.25">
      <c r="A273" s="10" t="s">
        <v>17</v>
      </c>
      <c r="B273" s="227" t="s">
        <v>13</v>
      </c>
      <c r="C273" s="70" t="s">
        <v>165</v>
      </c>
      <c r="D273" s="12" t="s">
        <v>38</v>
      </c>
      <c r="E273" s="78">
        <f>2.55*E272</f>
        <v>20.04</v>
      </c>
      <c r="F273" s="14">
        <v>0</v>
      </c>
      <c r="G273" s="102"/>
      <c r="H273" s="113">
        <f>E273*F273</f>
        <v>0</v>
      </c>
      <c r="I273" s="15"/>
      <c r="J273" s="1"/>
      <c r="K273" s="1"/>
      <c r="P273" s="1"/>
      <c r="Q273" s="1"/>
      <c r="R273" s="1"/>
      <c r="S273" s="1"/>
    </row>
    <row r="274" spans="1:19" ht="30" x14ac:dyDescent="0.25">
      <c r="A274" s="10" t="s">
        <v>18</v>
      </c>
      <c r="B274" s="211" t="s">
        <v>13</v>
      </c>
      <c r="C274" s="70" t="s">
        <v>256</v>
      </c>
      <c r="D274" s="12" t="s">
        <v>58</v>
      </c>
      <c r="E274" s="12">
        <v>1.6</v>
      </c>
      <c r="F274" s="14">
        <v>0</v>
      </c>
      <c r="G274" s="102"/>
      <c r="H274" s="113">
        <f>E274*F274</f>
        <v>0</v>
      </c>
      <c r="I274" s="15"/>
      <c r="J274" s="1"/>
      <c r="K274" s="1"/>
      <c r="P274" s="1"/>
      <c r="Q274" s="1"/>
      <c r="R274" s="1"/>
      <c r="S274" s="1"/>
    </row>
    <row r="275" spans="1:19" x14ac:dyDescent="0.25">
      <c r="A275" s="10" t="s">
        <v>47</v>
      </c>
      <c r="B275" s="211" t="s">
        <v>13</v>
      </c>
      <c r="C275" s="70" t="s">
        <v>257</v>
      </c>
      <c r="D275" s="12" t="s">
        <v>14</v>
      </c>
      <c r="E275" s="12">
        <v>2</v>
      </c>
      <c r="F275" s="14">
        <v>0</v>
      </c>
      <c r="G275" s="102"/>
      <c r="H275" s="113">
        <f>E275*F275</f>
        <v>0</v>
      </c>
      <c r="I275" s="15"/>
      <c r="J275" s="1"/>
      <c r="K275" s="1"/>
      <c r="P275" s="1"/>
      <c r="Q275" s="1"/>
      <c r="R275" s="1"/>
      <c r="S275" s="1"/>
    </row>
    <row r="276" spans="1:19" x14ac:dyDescent="0.25">
      <c r="A276" s="10" t="s">
        <v>49</v>
      </c>
      <c r="B276" s="211" t="s">
        <v>13</v>
      </c>
      <c r="C276" s="70" t="s">
        <v>258</v>
      </c>
      <c r="D276" s="12" t="s">
        <v>54</v>
      </c>
      <c r="E276" s="12">
        <v>0.5</v>
      </c>
      <c r="F276" s="14">
        <v>0</v>
      </c>
      <c r="G276" s="102"/>
      <c r="H276" s="113">
        <f t="shared" ref="H276:H277" si="26">E276*F276</f>
        <v>0</v>
      </c>
      <c r="I276" s="15"/>
      <c r="J276" s="1"/>
      <c r="K276" s="1"/>
      <c r="P276" s="1"/>
      <c r="Q276" s="1"/>
      <c r="R276" s="1"/>
      <c r="S276" s="1"/>
    </row>
    <row r="277" spans="1:19" x14ac:dyDescent="0.25">
      <c r="A277" s="10" t="s">
        <v>50</v>
      </c>
      <c r="B277" s="211" t="s">
        <v>13</v>
      </c>
      <c r="C277" s="70" t="s">
        <v>259</v>
      </c>
      <c r="D277" s="12" t="s">
        <v>14</v>
      </c>
      <c r="E277" s="12">
        <v>1</v>
      </c>
      <c r="F277" s="14">
        <v>0</v>
      </c>
      <c r="G277" s="102"/>
      <c r="H277" s="113">
        <f t="shared" si="26"/>
        <v>0</v>
      </c>
      <c r="I277" s="15"/>
      <c r="J277" s="1"/>
      <c r="K277" s="1"/>
      <c r="P277" s="1"/>
      <c r="Q277" s="1"/>
      <c r="R277" s="1"/>
      <c r="S277" s="1"/>
    </row>
    <row r="278" spans="1:19" ht="28.5" x14ac:dyDescent="0.25">
      <c r="A278" s="16" t="s">
        <v>19</v>
      </c>
      <c r="B278" s="215" t="s">
        <v>9</v>
      </c>
      <c r="C278" s="17" t="s">
        <v>261</v>
      </c>
      <c r="D278" s="18" t="s">
        <v>14</v>
      </c>
      <c r="E278" s="18">
        <v>2</v>
      </c>
      <c r="F278" s="13"/>
      <c r="G278" s="117">
        <v>0</v>
      </c>
      <c r="H278" s="103"/>
      <c r="I278" s="58">
        <f>E278*G278</f>
        <v>0</v>
      </c>
      <c r="J278" s="1"/>
      <c r="K278" s="1"/>
      <c r="P278" s="1"/>
      <c r="Q278" s="1"/>
      <c r="R278" s="1"/>
      <c r="S278" s="1"/>
    </row>
    <row r="279" spans="1:19" ht="30" x14ac:dyDescent="0.25">
      <c r="A279" s="10" t="s">
        <v>21</v>
      </c>
      <c r="B279" s="211" t="s">
        <v>13</v>
      </c>
      <c r="C279" s="11" t="s">
        <v>260</v>
      </c>
      <c r="D279" s="12" t="s">
        <v>14</v>
      </c>
      <c r="E279" s="12">
        <v>1</v>
      </c>
      <c r="F279" s="14">
        <v>0</v>
      </c>
      <c r="G279" s="102"/>
      <c r="H279" s="113">
        <f>E279*F279</f>
        <v>0</v>
      </c>
      <c r="I279" s="15"/>
      <c r="J279" s="1"/>
      <c r="K279" s="1"/>
      <c r="P279" s="1"/>
      <c r="Q279" s="1"/>
      <c r="R279" s="1"/>
      <c r="S279" s="1"/>
    </row>
    <row r="280" spans="1:19" ht="30" x14ac:dyDescent="0.25">
      <c r="A280" s="10" t="s">
        <v>22</v>
      </c>
      <c r="B280" s="211" t="s">
        <v>13</v>
      </c>
      <c r="C280" s="11" t="s">
        <v>566</v>
      </c>
      <c r="D280" s="12" t="s">
        <v>14</v>
      </c>
      <c r="E280" s="12">
        <v>1</v>
      </c>
      <c r="F280" s="14">
        <v>0</v>
      </c>
      <c r="G280" s="102"/>
      <c r="H280" s="113">
        <f>E280*F280</f>
        <v>0</v>
      </c>
      <c r="I280" s="15"/>
      <c r="J280" s="1"/>
      <c r="K280" s="1"/>
      <c r="P280" s="1"/>
      <c r="Q280" s="1"/>
      <c r="R280" s="1"/>
      <c r="S280" s="1"/>
    </row>
    <row r="281" spans="1:19" ht="28.5" x14ac:dyDescent="0.25">
      <c r="A281" s="95" t="s">
        <v>23</v>
      </c>
      <c r="B281" s="259" t="s">
        <v>9</v>
      </c>
      <c r="C281" s="17" t="s">
        <v>211</v>
      </c>
      <c r="D281" s="19" t="s">
        <v>54</v>
      </c>
      <c r="E281" s="18">
        <v>8.8000000000000007</v>
      </c>
      <c r="F281" s="28"/>
      <c r="G281" s="117">
        <v>0</v>
      </c>
      <c r="H281" s="103"/>
      <c r="I281" s="58">
        <f>E281*G281</f>
        <v>0</v>
      </c>
      <c r="J281" s="1"/>
      <c r="K281" s="1"/>
      <c r="P281" s="1"/>
      <c r="Q281" s="1"/>
      <c r="R281" s="1"/>
      <c r="S281" s="1"/>
    </row>
    <row r="282" spans="1:19" x14ac:dyDescent="0.25">
      <c r="A282" s="93" t="s">
        <v>24</v>
      </c>
      <c r="B282" s="247" t="s">
        <v>13</v>
      </c>
      <c r="C282" s="188" t="s">
        <v>209</v>
      </c>
      <c r="D282" s="90" t="s">
        <v>54</v>
      </c>
      <c r="E282" s="12">
        <f>1.1*E281</f>
        <v>9.68</v>
      </c>
      <c r="F282" s="33">
        <v>0</v>
      </c>
      <c r="G282" s="102"/>
      <c r="H282" s="113">
        <f>E282*F282</f>
        <v>0</v>
      </c>
      <c r="I282" s="15"/>
      <c r="J282" s="1"/>
      <c r="K282" s="1"/>
      <c r="P282" s="1"/>
      <c r="Q282" s="1"/>
      <c r="R282" s="1"/>
      <c r="S282" s="1"/>
    </row>
    <row r="283" spans="1:19" ht="15.75" thickBot="1" x14ac:dyDescent="0.3">
      <c r="A283" s="93" t="s">
        <v>60</v>
      </c>
      <c r="B283" s="247" t="s">
        <v>13</v>
      </c>
      <c r="C283" s="188" t="s">
        <v>266</v>
      </c>
      <c r="D283" s="90" t="s">
        <v>38</v>
      </c>
      <c r="E283" s="12">
        <f>0.7*E281</f>
        <v>6.16</v>
      </c>
      <c r="F283" s="33">
        <v>0</v>
      </c>
      <c r="G283" s="102"/>
      <c r="H283" s="113">
        <f>E283*F283</f>
        <v>0</v>
      </c>
      <c r="I283" s="15"/>
      <c r="J283" s="1"/>
      <c r="K283" s="1"/>
      <c r="P283" s="1"/>
      <c r="Q283" s="1"/>
      <c r="R283" s="1"/>
      <c r="S283" s="1"/>
    </row>
    <row r="284" spans="1:19" ht="15.75" thickBot="1" x14ac:dyDescent="0.3">
      <c r="A284" s="45"/>
      <c r="B284" s="371"/>
      <c r="C284" s="268" t="s">
        <v>417</v>
      </c>
      <c r="D284" s="48"/>
      <c r="E284" s="49"/>
      <c r="F284" s="51"/>
      <c r="G284" s="109"/>
      <c r="H284" s="121">
        <f>SUM(H269:H283)</f>
        <v>0</v>
      </c>
      <c r="I284" s="86">
        <f>SUM(I268:I283)</f>
        <v>0</v>
      </c>
      <c r="J284" s="1"/>
      <c r="K284" s="1"/>
      <c r="P284" s="1"/>
      <c r="Q284" s="1"/>
      <c r="R284" s="1"/>
      <c r="S284" s="1"/>
    </row>
    <row r="285" spans="1:19" ht="15.75" thickBot="1" x14ac:dyDescent="0.3">
      <c r="A285" s="49"/>
      <c r="B285" s="371"/>
      <c r="C285" s="47" t="s">
        <v>267</v>
      </c>
      <c r="D285" s="48"/>
      <c r="E285" s="49"/>
      <c r="F285" s="51"/>
      <c r="G285" s="109"/>
      <c r="H285" s="144"/>
      <c r="I285" s="52"/>
      <c r="J285" s="1"/>
      <c r="K285" s="1"/>
      <c r="P285" s="1"/>
      <c r="Q285" s="1"/>
      <c r="R285" s="1"/>
      <c r="S285" s="1"/>
    </row>
    <row r="286" spans="1:19" ht="47.25" x14ac:dyDescent="0.25">
      <c r="A286" s="173" t="s">
        <v>51</v>
      </c>
      <c r="B286" s="226" t="s">
        <v>9</v>
      </c>
      <c r="C286" s="5" t="s">
        <v>25</v>
      </c>
      <c r="D286" s="171" t="s">
        <v>11</v>
      </c>
      <c r="E286" s="4">
        <v>1</v>
      </c>
      <c r="F286" s="6"/>
      <c r="G286" s="172">
        <v>0</v>
      </c>
      <c r="H286" s="6"/>
      <c r="I286" s="42">
        <f>E286*G286</f>
        <v>0</v>
      </c>
      <c r="J286" s="1"/>
      <c r="K286" s="1"/>
      <c r="P286" s="1"/>
      <c r="Q286" s="1"/>
      <c r="R286" s="1"/>
      <c r="S286" s="1"/>
    </row>
    <row r="287" spans="1:19" ht="30" x14ac:dyDescent="0.25">
      <c r="A287" s="10" t="s">
        <v>26</v>
      </c>
      <c r="B287" s="211" t="s">
        <v>13</v>
      </c>
      <c r="C287" s="277" t="s">
        <v>268</v>
      </c>
      <c r="D287" s="12" t="s">
        <v>14</v>
      </c>
      <c r="E287" s="12">
        <v>1</v>
      </c>
      <c r="F287" s="14">
        <v>0</v>
      </c>
      <c r="G287" s="102"/>
      <c r="H287" s="113">
        <f>E287*F287</f>
        <v>0</v>
      </c>
      <c r="I287" s="15"/>
      <c r="J287" s="1"/>
      <c r="K287" s="1"/>
      <c r="P287" s="1"/>
      <c r="Q287" s="1"/>
      <c r="R287" s="1"/>
      <c r="S287" s="1"/>
    </row>
    <row r="288" spans="1:19" x14ac:dyDescent="0.25">
      <c r="A288" s="10" t="s">
        <v>27</v>
      </c>
      <c r="B288" s="211" t="s">
        <v>13</v>
      </c>
      <c r="C288" s="70" t="s">
        <v>269</v>
      </c>
      <c r="D288" s="12" t="s">
        <v>14</v>
      </c>
      <c r="E288" s="12">
        <v>1</v>
      </c>
      <c r="F288" s="14">
        <v>0</v>
      </c>
      <c r="G288" s="102"/>
      <c r="H288" s="113">
        <f>E288*F288</f>
        <v>0</v>
      </c>
      <c r="I288" s="15"/>
      <c r="J288" s="1"/>
      <c r="K288" s="1"/>
      <c r="P288" s="1"/>
      <c r="Q288" s="1"/>
      <c r="R288" s="1"/>
      <c r="S288" s="1"/>
    </row>
    <row r="289" spans="1:19" ht="28.5" x14ac:dyDescent="0.25">
      <c r="A289" s="16" t="s">
        <v>474</v>
      </c>
      <c r="B289" s="294" t="s">
        <v>9</v>
      </c>
      <c r="C289" s="295" t="s">
        <v>803</v>
      </c>
      <c r="D289" s="19" t="s">
        <v>472</v>
      </c>
      <c r="E289" s="19">
        <v>5</v>
      </c>
      <c r="F289" s="13"/>
      <c r="G289" s="117">
        <v>0</v>
      </c>
      <c r="H289" s="103"/>
      <c r="I289" s="58">
        <f>E289*G289</f>
        <v>0</v>
      </c>
      <c r="J289" s="1"/>
      <c r="K289" s="1"/>
      <c r="P289" s="1"/>
      <c r="Q289" s="1"/>
      <c r="R289" s="1"/>
      <c r="S289" s="1"/>
    </row>
    <row r="290" spans="1:19" ht="42.75" x14ac:dyDescent="0.25">
      <c r="A290" s="16" t="s">
        <v>29</v>
      </c>
      <c r="B290" s="228" t="s">
        <v>9</v>
      </c>
      <c r="C290" s="295" t="s">
        <v>255</v>
      </c>
      <c r="D290" s="19" t="s">
        <v>54</v>
      </c>
      <c r="E290" s="19">
        <f>4.46+1.53*2+1.12*2+0.886</f>
        <v>10.646000000000001</v>
      </c>
      <c r="F290" s="13"/>
      <c r="G290" s="117">
        <v>0</v>
      </c>
      <c r="H290" s="103"/>
      <c r="I290" s="58">
        <f>E290*G290</f>
        <v>0</v>
      </c>
      <c r="J290" s="1"/>
      <c r="K290" s="1"/>
      <c r="P290" s="1"/>
      <c r="Q290" s="1"/>
      <c r="R290" s="1"/>
      <c r="S290" s="1"/>
    </row>
    <row r="291" spans="1:19" x14ac:dyDescent="0.25">
      <c r="A291" s="10" t="s">
        <v>31</v>
      </c>
      <c r="B291" s="227" t="s">
        <v>13</v>
      </c>
      <c r="C291" s="70" t="s">
        <v>165</v>
      </c>
      <c r="D291" s="12" t="s">
        <v>38</v>
      </c>
      <c r="E291" s="78">
        <f>2.55*E290</f>
        <v>27.15</v>
      </c>
      <c r="F291" s="14">
        <v>0</v>
      </c>
      <c r="G291" s="102"/>
      <c r="H291" s="113">
        <f>E291*F291</f>
        <v>0</v>
      </c>
      <c r="I291" s="15"/>
      <c r="J291" s="1"/>
      <c r="K291" s="1"/>
      <c r="P291" s="1"/>
      <c r="Q291" s="1"/>
      <c r="R291" s="1"/>
      <c r="S291" s="1"/>
    </row>
    <row r="292" spans="1:19" ht="30" x14ac:dyDescent="0.25">
      <c r="A292" s="10" t="s">
        <v>63</v>
      </c>
      <c r="B292" s="211" t="s">
        <v>13</v>
      </c>
      <c r="C292" s="70" t="s">
        <v>270</v>
      </c>
      <c r="D292" s="12" t="s">
        <v>58</v>
      </c>
      <c r="E292" s="12">
        <v>2</v>
      </c>
      <c r="F292" s="14">
        <v>0</v>
      </c>
      <c r="G292" s="102"/>
      <c r="H292" s="113">
        <f>E292*F292</f>
        <v>0</v>
      </c>
      <c r="I292" s="15"/>
      <c r="J292" s="1"/>
      <c r="K292" s="1"/>
      <c r="P292" s="1"/>
      <c r="Q292" s="1"/>
      <c r="R292" s="1"/>
      <c r="S292" s="1"/>
    </row>
    <row r="293" spans="1:19" x14ac:dyDescent="0.25">
      <c r="A293" s="10" t="s">
        <v>64</v>
      </c>
      <c r="B293" s="211" t="s">
        <v>13</v>
      </c>
      <c r="C293" s="70" t="s">
        <v>272</v>
      </c>
      <c r="D293" s="12" t="s">
        <v>14</v>
      </c>
      <c r="E293" s="12">
        <v>2</v>
      </c>
      <c r="F293" s="14">
        <v>0</v>
      </c>
      <c r="G293" s="102"/>
      <c r="H293" s="113">
        <f>E293*F293</f>
        <v>0</v>
      </c>
      <c r="I293" s="15"/>
      <c r="J293" s="1"/>
      <c r="K293" s="1">
        <v>1.53</v>
      </c>
      <c r="P293" s="1"/>
      <c r="Q293" s="1"/>
      <c r="R293" s="1"/>
      <c r="S293" s="1"/>
    </row>
    <row r="294" spans="1:19" x14ac:dyDescent="0.25">
      <c r="A294" s="10" t="s">
        <v>65</v>
      </c>
      <c r="B294" s="211" t="s">
        <v>13</v>
      </c>
      <c r="C294" s="70" t="s">
        <v>567</v>
      </c>
      <c r="D294" s="12"/>
      <c r="E294" s="12">
        <v>2</v>
      </c>
      <c r="F294" s="14">
        <v>0</v>
      </c>
      <c r="G294" s="102"/>
      <c r="H294" s="113">
        <f>E294*F294</f>
        <v>0</v>
      </c>
      <c r="I294" s="15"/>
      <c r="J294" s="1"/>
      <c r="K294" s="1">
        <v>1.1200000000000001</v>
      </c>
      <c r="P294" s="1"/>
      <c r="Q294" s="1"/>
      <c r="R294" s="1"/>
      <c r="S294" s="1"/>
    </row>
    <row r="295" spans="1:19" x14ac:dyDescent="0.25">
      <c r="A295" s="10" t="s">
        <v>66</v>
      </c>
      <c r="B295" s="211" t="s">
        <v>13</v>
      </c>
      <c r="C295" s="70" t="s">
        <v>258</v>
      </c>
      <c r="D295" s="12" t="s">
        <v>54</v>
      </c>
      <c r="E295" s="12">
        <v>0.4</v>
      </c>
      <c r="F295" s="14">
        <v>0</v>
      </c>
      <c r="G295" s="102"/>
      <c r="H295" s="113">
        <f t="shared" ref="H295:H297" si="27">E295*F295</f>
        <v>0</v>
      </c>
      <c r="I295" s="15"/>
      <c r="J295" s="1"/>
      <c r="K295" s="1"/>
      <c r="P295" s="1"/>
      <c r="Q295" s="1"/>
      <c r="R295" s="1"/>
      <c r="S295" s="1"/>
    </row>
    <row r="296" spans="1:19" x14ac:dyDescent="0.25">
      <c r="A296" s="10" t="s">
        <v>384</v>
      </c>
      <c r="B296" s="211" t="s">
        <v>13</v>
      </c>
      <c r="C296" s="70" t="s">
        <v>271</v>
      </c>
      <c r="D296" s="12" t="s">
        <v>14</v>
      </c>
      <c r="E296" s="12">
        <v>1</v>
      </c>
      <c r="F296" s="14">
        <v>0</v>
      </c>
      <c r="G296" s="102"/>
      <c r="H296" s="113">
        <f t="shared" si="27"/>
        <v>0</v>
      </c>
      <c r="I296" s="15"/>
      <c r="J296" s="1"/>
      <c r="K296" s="1"/>
      <c r="P296" s="1"/>
      <c r="Q296" s="1"/>
      <c r="R296" s="1"/>
      <c r="S296" s="1"/>
    </row>
    <row r="297" spans="1:19" x14ac:dyDescent="0.25">
      <c r="A297" s="10" t="s">
        <v>385</v>
      </c>
      <c r="B297" s="229" t="s">
        <v>13</v>
      </c>
      <c r="C297" s="70" t="s">
        <v>273</v>
      </c>
      <c r="D297" s="20" t="s">
        <v>14</v>
      </c>
      <c r="E297" s="20">
        <v>1</v>
      </c>
      <c r="F297" s="14">
        <v>0</v>
      </c>
      <c r="G297" s="102"/>
      <c r="H297" s="113">
        <f t="shared" si="27"/>
        <v>0</v>
      </c>
      <c r="I297" s="15"/>
      <c r="J297" s="1"/>
      <c r="K297" s="1">
        <v>0.88600000000000001</v>
      </c>
      <c r="P297" s="1"/>
      <c r="Q297" s="1"/>
      <c r="R297" s="1"/>
      <c r="S297" s="1"/>
    </row>
    <row r="298" spans="1:19" ht="28.5" x14ac:dyDescent="0.25">
      <c r="A298" s="16" t="s">
        <v>32</v>
      </c>
      <c r="B298" s="228" t="s">
        <v>9</v>
      </c>
      <c r="C298" s="17" t="s">
        <v>211</v>
      </c>
      <c r="D298" s="19" t="s">
        <v>54</v>
      </c>
      <c r="E298" s="18">
        <v>10</v>
      </c>
      <c r="F298" s="28"/>
      <c r="G298" s="117">
        <v>0</v>
      </c>
      <c r="H298" s="103"/>
      <c r="I298" s="58">
        <f>E298*G298</f>
        <v>0</v>
      </c>
      <c r="J298" s="1"/>
      <c r="K298" s="1"/>
      <c r="P298" s="1"/>
      <c r="Q298" s="1"/>
      <c r="R298" s="1"/>
      <c r="S298" s="1"/>
    </row>
    <row r="299" spans="1:19" x14ac:dyDescent="0.25">
      <c r="A299" s="10" t="s">
        <v>33</v>
      </c>
      <c r="B299" s="229" t="s">
        <v>13</v>
      </c>
      <c r="C299" s="188" t="s">
        <v>209</v>
      </c>
      <c r="D299" s="90" t="s">
        <v>54</v>
      </c>
      <c r="E299" s="12">
        <f>1.1*E298</f>
        <v>11</v>
      </c>
      <c r="F299" s="33">
        <v>0</v>
      </c>
      <c r="G299" s="102"/>
      <c r="H299" s="113">
        <f>E299*F299</f>
        <v>0</v>
      </c>
      <c r="I299" s="15"/>
      <c r="J299" s="1"/>
      <c r="K299" s="1"/>
      <c r="P299" s="1"/>
      <c r="Q299" s="1"/>
      <c r="R299" s="1"/>
      <c r="S299" s="1"/>
    </row>
    <row r="300" spans="1:19" x14ac:dyDescent="0.25">
      <c r="A300" s="10" t="s">
        <v>34</v>
      </c>
      <c r="B300" s="229" t="s">
        <v>13</v>
      </c>
      <c r="C300" s="188" t="s">
        <v>266</v>
      </c>
      <c r="D300" s="90" t="s">
        <v>38</v>
      </c>
      <c r="E300" s="12">
        <f>0.7*E298</f>
        <v>7</v>
      </c>
      <c r="F300" s="33">
        <v>0</v>
      </c>
      <c r="G300" s="102"/>
      <c r="H300" s="113">
        <f>E300*F300</f>
        <v>0</v>
      </c>
      <c r="I300" s="15"/>
      <c r="J300" s="1"/>
      <c r="K300" s="1"/>
      <c r="P300" s="1"/>
      <c r="Q300" s="1"/>
      <c r="R300" s="1"/>
      <c r="S300" s="1"/>
    </row>
    <row r="301" spans="1:19" ht="28.5" x14ac:dyDescent="0.25">
      <c r="A301" s="16" t="s">
        <v>36</v>
      </c>
      <c r="B301" s="217" t="s">
        <v>9</v>
      </c>
      <c r="C301" s="17" t="s">
        <v>261</v>
      </c>
      <c r="D301" s="18" t="s">
        <v>14</v>
      </c>
      <c r="E301" s="18">
        <v>2</v>
      </c>
      <c r="F301" s="13"/>
      <c r="G301" s="117">
        <v>0</v>
      </c>
      <c r="H301" s="103"/>
      <c r="I301" s="58">
        <f>E301*G301</f>
        <v>0</v>
      </c>
      <c r="J301" s="1"/>
      <c r="K301" s="1"/>
      <c r="P301" s="1"/>
      <c r="Q301" s="1"/>
      <c r="R301" s="1"/>
      <c r="S301" s="1"/>
    </row>
    <row r="302" spans="1:19" ht="30" x14ac:dyDescent="0.25">
      <c r="A302" s="10" t="s">
        <v>37</v>
      </c>
      <c r="B302" s="229" t="s">
        <v>13</v>
      </c>
      <c r="C302" s="11" t="s">
        <v>274</v>
      </c>
      <c r="D302" s="12" t="s">
        <v>14</v>
      </c>
      <c r="E302" s="12">
        <v>1</v>
      </c>
      <c r="F302" s="14">
        <v>0</v>
      </c>
      <c r="G302" s="102"/>
      <c r="H302" s="113">
        <f>E302*F302</f>
        <v>0</v>
      </c>
      <c r="I302" s="15"/>
      <c r="J302" s="1"/>
      <c r="K302" s="1"/>
      <c r="P302" s="1"/>
      <c r="Q302" s="1"/>
      <c r="R302" s="1"/>
      <c r="S302" s="1"/>
    </row>
    <row r="303" spans="1:19" ht="30.75" thickBot="1" x14ac:dyDescent="0.3">
      <c r="A303" s="54" t="s">
        <v>233</v>
      </c>
      <c r="B303" s="230" t="s">
        <v>13</v>
      </c>
      <c r="C303" s="55" t="s">
        <v>275</v>
      </c>
      <c r="D303" s="141" t="s">
        <v>14</v>
      </c>
      <c r="E303" s="141">
        <v>1</v>
      </c>
      <c r="F303" s="142">
        <v>0</v>
      </c>
      <c r="G303" s="114"/>
      <c r="H303" s="120">
        <f>E303*F303</f>
        <v>0</v>
      </c>
      <c r="I303" s="127"/>
      <c r="J303" s="1"/>
      <c r="K303" s="1"/>
      <c r="P303" s="1"/>
      <c r="Q303" s="1"/>
      <c r="R303" s="1"/>
      <c r="S303" s="1"/>
    </row>
    <row r="304" spans="1:19" ht="15.75" thickBot="1" x14ac:dyDescent="0.3">
      <c r="A304" s="45"/>
      <c r="B304" s="231"/>
      <c r="C304" s="268" t="s">
        <v>417</v>
      </c>
      <c r="D304" s="48"/>
      <c r="E304" s="49"/>
      <c r="F304" s="132"/>
      <c r="G304" s="109"/>
      <c r="H304" s="121">
        <f>SUM(H286:H303)</f>
        <v>0</v>
      </c>
      <c r="I304" s="86">
        <f>SUM(I286:I303)</f>
        <v>0</v>
      </c>
      <c r="J304" s="1"/>
      <c r="K304" s="1"/>
      <c r="P304" s="1"/>
      <c r="Q304" s="1"/>
      <c r="R304" s="1"/>
      <c r="S304" s="1"/>
    </row>
    <row r="305" spans="1:22" ht="15.75" thickBot="1" x14ac:dyDescent="0.3">
      <c r="A305" s="45"/>
      <c r="B305" s="231"/>
      <c r="C305" s="47" t="s">
        <v>276</v>
      </c>
      <c r="D305" s="48"/>
      <c r="E305" s="49"/>
      <c r="F305" s="132"/>
      <c r="G305" s="109"/>
      <c r="H305" s="144"/>
      <c r="I305" s="52"/>
      <c r="J305" s="1"/>
      <c r="K305" s="276"/>
      <c r="L305" s="314"/>
      <c r="M305" s="314"/>
      <c r="N305" s="314"/>
      <c r="O305" s="314"/>
      <c r="P305" s="276"/>
      <c r="Q305" s="276"/>
      <c r="R305" s="276"/>
      <c r="S305" s="276"/>
      <c r="T305" s="276"/>
      <c r="U305" s="276"/>
      <c r="V305" s="276"/>
    </row>
    <row r="306" spans="1:22" ht="47.25" x14ac:dyDescent="0.25">
      <c r="A306" s="173" t="s">
        <v>39</v>
      </c>
      <c r="B306" s="226" t="s">
        <v>9</v>
      </c>
      <c r="C306" s="5" t="s">
        <v>25</v>
      </c>
      <c r="D306" s="171" t="s">
        <v>11</v>
      </c>
      <c r="E306" s="4">
        <v>1</v>
      </c>
      <c r="F306" s="6"/>
      <c r="G306" s="172">
        <v>0</v>
      </c>
      <c r="H306" s="6"/>
      <c r="I306" s="42">
        <f>E306*G306</f>
        <v>0</v>
      </c>
      <c r="J306" s="1"/>
      <c r="K306" s="1"/>
      <c r="P306" s="1"/>
      <c r="Q306" s="1"/>
      <c r="R306" s="1"/>
      <c r="S306" s="1"/>
    </row>
    <row r="307" spans="1:22" ht="30" x14ac:dyDescent="0.25">
      <c r="A307" s="10" t="s">
        <v>40</v>
      </c>
      <c r="B307" s="211" t="s">
        <v>13</v>
      </c>
      <c r="C307" s="277" t="s">
        <v>268</v>
      </c>
      <c r="D307" s="12" t="s">
        <v>14</v>
      </c>
      <c r="E307" s="12">
        <v>1</v>
      </c>
      <c r="F307" s="14">
        <v>0</v>
      </c>
      <c r="G307" s="102"/>
      <c r="H307" s="113">
        <f>E307*F307</f>
        <v>0</v>
      </c>
      <c r="I307" s="15"/>
      <c r="J307" s="1"/>
      <c r="K307" s="1"/>
      <c r="P307" s="1"/>
      <c r="Q307" s="1"/>
      <c r="R307" s="1"/>
      <c r="S307" s="1"/>
    </row>
    <row r="308" spans="1:22" x14ac:dyDescent="0.25">
      <c r="A308" s="10" t="s">
        <v>41</v>
      </c>
      <c r="B308" s="211" t="s">
        <v>13</v>
      </c>
      <c r="C308" s="70" t="s">
        <v>269</v>
      </c>
      <c r="D308" s="12" t="s">
        <v>14</v>
      </c>
      <c r="E308" s="12">
        <v>1</v>
      </c>
      <c r="F308" s="14">
        <v>0</v>
      </c>
      <c r="G308" s="102"/>
      <c r="H308" s="113">
        <f>E308*F308</f>
        <v>0</v>
      </c>
      <c r="I308" s="15"/>
      <c r="J308" s="1"/>
      <c r="K308" s="1"/>
      <c r="P308" s="1"/>
      <c r="Q308" s="1"/>
      <c r="R308" s="1"/>
      <c r="S308" s="1"/>
    </row>
    <row r="309" spans="1:22" ht="28.5" x14ac:dyDescent="0.25">
      <c r="A309" s="16" t="s">
        <v>475</v>
      </c>
      <c r="B309" s="294" t="s">
        <v>9</v>
      </c>
      <c r="C309" s="295" t="s">
        <v>801</v>
      </c>
      <c r="D309" s="19" t="s">
        <v>472</v>
      </c>
      <c r="E309" s="19">
        <v>5</v>
      </c>
      <c r="F309" s="13"/>
      <c r="G309" s="117">
        <v>0</v>
      </c>
      <c r="H309" s="103"/>
      <c r="I309" s="58">
        <f>E309*G309</f>
        <v>0</v>
      </c>
      <c r="J309" s="1"/>
      <c r="K309" s="1"/>
      <c r="P309" s="1"/>
      <c r="Q309" s="1"/>
      <c r="R309" s="1"/>
      <c r="S309" s="1"/>
    </row>
    <row r="310" spans="1:22" ht="42.75" x14ac:dyDescent="0.25">
      <c r="A310" s="16" t="s">
        <v>242</v>
      </c>
      <c r="B310" s="228" t="s">
        <v>9</v>
      </c>
      <c r="C310" s="295" t="s">
        <v>255</v>
      </c>
      <c r="D310" s="19" t="s">
        <v>54</v>
      </c>
      <c r="E310" s="19">
        <f>5.35+1.53*4+0.886</f>
        <v>12.356</v>
      </c>
      <c r="F310" s="13"/>
      <c r="G310" s="117">
        <v>0</v>
      </c>
      <c r="H310" s="103"/>
      <c r="I310" s="58">
        <f>E310*G310</f>
        <v>0</v>
      </c>
      <c r="J310" s="1"/>
      <c r="K310" s="1"/>
      <c r="P310" s="1"/>
      <c r="Q310" s="1"/>
      <c r="R310" s="1"/>
      <c r="S310" s="1"/>
    </row>
    <row r="311" spans="1:22" x14ac:dyDescent="0.25">
      <c r="A311" s="10" t="s">
        <v>42</v>
      </c>
      <c r="B311" s="227" t="s">
        <v>13</v>
      </c>
      <c r="C311" s="70" t="s">
        <v>165</v>
      </c>
      <c r="D311" s="12" t="s">
        <v>38</v>
      </c>
      <c r="E311" s="78">
        <f>2.55*E310</f>
        <v>31.51</v>
      </c>
      <c r="F311" s="14">
        <v>0</v>
      </c>
      <c r="G311" s="102"/>
      <c r="H311" s="113">
        <f>E311*F311</f>
        <v>0</v>
      </c>
      <c r="I311" s="15"/>
      <c r="J311" s="1"/>
      <c r="K311" s="1"/>
      <c r="P311" s="1"/>
      <c r="Q311" s="1"/>
      <c r="R311" s="1"/>
      <c r="S311" s="1"/>
    </row>
    <row r="312" spans="1:22" ht="30" x14ac:dyDescent="0.25">
      <c r="A312" s="10" t="s">
        <v>43</v>
      </c>
      <c r="B312" s="211" t="s">
        <v>13</v>
      </c>
      <c r="C312" s="70" t="s">
        <v>270</v>
      </c>
      <c r="D312" s="12" t="s">
        <v>58</v>
      </c>
      <c r="E312" s="12">
        <v>2.4</v>
      </c>
      <c r="F312" s="14">
        <v>0</v>
      </c>
      <c r="G312" s="102"/>
      <c r="H312" s="113">
        <f>E312*F312</f>
        <v>0</v>
      </c>
      <c r="I312" s="15"/>
      <c r="J312" s="1"/>
      <c r="K312" s="1"/>
      <c r="P312" s="1"/>
      <c r="Q312" s="1"/>
      <c r="R312" s="1"/>
      <c r="S312" s="1"/>
    </row>
    <row r="313" spans="1:22" x14ac:dyDescent="0.25">
      <c r="A313" s="10" t="s">
        <v>68</v>
      </c>
      <c r="B313" s="211" t="s">
        <v>13</v>
      </c>
      <c r="C313" s="70" t="s">
        <v>272</v>
      </c>
      <c r="D313" s="12" t="s">
        <v>14</v>
      </c>
      <c r="E313" s="12">
        <v>4</v>
      </c>
      <c r="F313" s="14">
        <v>0</v>
      </c>
      <c r="G313" s="102"/>
      <c r="H313" s="113">
        <f>E313*F313</f>
        <v>0</v>
      </c>
      <c r="I313" s="15"/>
      <c r="J313" s="1"/>
      <c r="K313" s="1"/>
      <c r="P313" s="1"/>
      <c r="Q313" s="1"/>
      <c r="R313" s="1"/>
      <c r="S313" s="1"/>
    </row>
    <row r="314" spans="1:22" x14ac:dyDescent="0.25">
      <c r="A314" s="10" t="s">
        <v>421</v>
      </c>
      <c r="B314" s="211" t="s">
        <v>13</v>
      </c>
      <c r="C314" s="70" t="s">
        <v>258</v>
      </c>
      <c r="D314" s="12" t="s">
        <v>54</v>
      </c>
      <c r="E314" s="12">
        <v>0.4</v>
      </c>
      <c r="F314" s="14">
        <v>0</v>
      </c>
      <c r="G314" s="102"/>
      <c r="H314" s="113">
        <f t="shared" ref="H314:H316" si="28">E314*F314</f>
        <v>0</v>
      </c>
      <c r="I314" s="15"/>
      <c r="J314" s="1"/>
      <c r="K314" s="1"/>
      <c r="P314" s="1"/>
      <c r="Q314" s="1"/>
      <c r="R314" s="1"/>
      <c r="S314" s="1"/>
    </row>
    <row r="315" spans="1:22" x14ac:dyDescent="0.25">
      <c r="A315" s="10" t="s">
        <v>469</v>
      </c>
      <c r="B315" s="211" t="s">
        <v>13</v>
      </c>
      <c r="C315" s="70" t="s">
        <v>271</v>
      </c>
      <c r="D315" s="12" t="s">
        <v>14</v>
      </c>
      <c r="E315" s="12">
        <v>1</v>
      </c>
      <c r="F315" s="14">
        <v>0</v>
      </c>
      <c r="G315" s="102"/>
      <c r="H315" s="113">
        <f t="shared" si="28"/>
        <v>0</v>
      </c>
      <c r="I315" s="15"/>
      <c r="J315" s="1"/>
      <c r="K315" s="1"/>
      <c r="P315" s="1"/>
      <c r="Q315" s="1"/>
      <c r="R315" s="1"/>
      <c r="S315" s="1"/>
    </row>
    <row r="316" spans="1:22" x14ac:dyDescent="0.25">
      <c r="A316" s="10" t="s">
        <v>470</v>
      </c>
      <c r="B316" s="229" t="s">
        <v>13</v>
      </c>
      <c r="C316" s="70" t="s">
        <v>273</v>
      </c>
      <c r="D316" s="20" t="s">
        <v>14</v>
      </c>
      <c r="E316" s="20">
        <v>1</v>
      </c>
      <c r="F316" s="14">
        <v>0</v>
      </c>
      <c r="G316" s="102"/>
      <c r="H316" s="113">
        <f t="shared" si="28"/>
        <v>0</v>
      </c>
      <c r="I316" s="15"/>
      <c r="J316" s="1"/>
      <c r="K316" s="1"/>
      <c r="P316" s="1"/>
      <c r="Q316" s="1"/>
      <c r="R316" s="1"/>
      <c r="S316" s="1"/>
    </row>
    <row r="317" spans="1:22" ht="28.5" x14ac:dyDescent="0.25">
      <c r="A317" s="16" t="s">
        <v>69</v>
      </c>
      <c r="B317" s="228" t="s">
        <v>9</v>
      </c>
      <c r="C317" s="17" t="s">
        <v>211</v>
      </c>
      <c r="D317" s="19" t="s">
        <v>54</v>
      </c>
      <c r="E317" s="18">
        <v>11.5</v>
      </c>
      <c r="F317" s="28"/>
      <c r="G317" s="117">
        <v>0</v>
      </c>
      <c r="H317" s="103"/>
      <c r="I317" s="58">
        <f>E317*G317</f>
        <v>0</v>
      </c>
      <c r="J317" s="1"/>
      <c r="K317" s="1"/>
      <c r="P317" s="1"/>
      <c r="Q317" s="1"/>
      <c r="R317" s="1"/>
      <c r="S317" s="1"/>
    </row>
    <row r="318" spans="1:22" x14ac:dyDescent="0.25">
      <c r="A318" s="10" t="s">
        <v>70</v>
      </c>
      <c r="B318" s="229" t="s">
        <v>13</v>
      </c>
      <c r="C318" s="188" t="s">
        <v>209</v>
      </c>
      <c r="D318" s="90" t="s">
        <v>54</v>
      </c>
      <c r="E318" s="12">
        <f>1.1*E317</f>
        <v>12.65</v>
      </c>
      <c r="F318" s="33">
        <v>0</v>
      </c>
      <c r="G318" s="102"/>
      <c r="H318" s="113">
        <f>E318*F318</f>
        <v>0</v>
      </c>
      <c r="I318" s="15"/>
      <c r="J318" s="1"/>
      <c r="K318" s="1"/>
      <c r="P318" s="1"/>
      <c r="Q318" s="1"/>
      <c r="R318" s="1"/>
      <c r="S318" s="1"/>
    </row>
    <row r="319" spans="1:22" x14ac:dyDescent="0.25">
      <c r="A319" s="10" t="s">
        <v>71</v>
      </c>
      <c r="B319" s="229" t="s">
        <v>13</v>
      </c>
      <c r="C319" s="188" t="s">
        <v>266</v>
      </c>
      <c r="D319" s="90" t="s">
        <v>38</v>
      </c>
      <c r="E319" s="12">
        <f>0.7*E317</f>
        <v>8.0500000000000007</v>
      </c>
      <c r="F319" s="33">
        <v>0</v>
      </c>
      <c r="G319" s="102"/>
      <c r="H319" s="113">
        <f>E319*F319</f>
        <v>0</v>
      </c>
      <c r="I319" s="15"/>
      <c r="J319" s="1"/>
      <c r="K319" s="1"/>
      <c r="P319" s="1"/>
      <c r="Q319" s="1"/>
      <c r="R319" s="1"/>
      <c r="S319" s="1"/>
    </row>
    <row r="320" spans="1:22" ht="28.5" x14ac:dyDescent="0.25">
      <c r="A320" s="16" t="s">
        <v>246</v>
      </c>
      <c r="B320" s="217" t="s">
        <v>9</v>
      </c>
      <c r="C320" s="17" t="s">
        <v>261</v>
      </c>
      <c r="D320" s="18" t="s">
        <v>14</v>
      </c>
      <c r="E320" s="18">
        <v>2</v>
      </c>
      <c r="F320" s="13"/>
      <c r="G320" s="117">
        <v>0</v>
      </c>
      <c r="H320" s="103"/>
      <c r="I320" s="58">
        <f>E320*G320</f>
        <v>0</v>
      </c>
      <c r="J320" s="1"/>
      <c r="K320" s="1"/>
      <c r="P320" s="1"/>
      <c r="Q320" s="1"/>
      <c r="R320" s="1"/>
      <c r="S320" s="1"/>
    </row>
    <row r="321" spans="1:19" ht="30" x14ac:dyDescent="0.25">
      <c r="A321" s="10" t="s">
        <v>73</v>
      </c>
      <c r="B321" s="229" t="s">
        <v>13</v>
      </c>
      <c r="C321" s="11" t="s">
        <v>274</v>
      </c>
      <c r="D321" s="12" t="s">
        <v>14</v>
      </c>
      <c r="E321" s="12">
        <v>1</v>
      </c>
      <c r="F321" s="14">
        <v>0</v>
      </c>
      <c r="G321" s="102"/>
      <c r="H321" s="113">
        <f>E321*F321</f>
        <v>0</v>
      </c>
      <c r="I321" s="15"/>
      <c r="J321" s="1"/>
      <c r="K321" s="1"/>
      <c r="P321" s="1"/>
      <c r="Q321" s="1"/>
      <c r="R321" s="1"/>
      <c r="S321" s="1"/>
    </row>
    <row r="322" spans="1:19" ht="30.75" thickBot="1" x14ac:dyDescent="0.3">
      <c r="A322" s="54" t="s">
        <v>74</v>
      </c>
      <c r="B322" s="230" t="s">
        <v>13</v>
      </c>
      <c r="C322" s="55" t="s">
        <v>275</v>
      </c>
      <c r="D322" s="141" t="s">
        <v>14</v>
      </c>
      <c r="E322" s="141">
        <v>1</v>
      </c>
      <c r="F322" s="142">
        <v>0</v>
      </c>
      <c r="G322" s="114"/>
      <c r="H322" s="120">
        <f>E322*F322</f>
        <v>0</v>
      </c>
      <c r="I322" s="127"/>
      <c r="J322" s="1"/>
      <c r="K322" s="1"/>
      <c r="P322" s="1"/>
      <c r="Q322" s="1"/>
      <c r="R322" s="1"/>
      <c r="S322" s="1"/>
    </row>
    <row r="323" spans="1:19" ht="15.75" thickBot="1" x14ac:dyDescent="0.3">
      <c r="A323" s="45"/>
      <c r="B323" s="231"/>
      <c r="C323" s="268" t="s">
        <v>417</v>
      </c>
      <c r="D323" s="48"/>
      <c r="E323" s="49"/>
      <c r="F323" s="132"/>
      <c r="G323" s="109"/>
      <c r="H323" s="121">
        <f>SUM(H306:H322)</f>
        <v>0</v>
      </c>
      <c r="I323" s="86">
        <f>SUM(I306:I322)</f>
        <v>0</v>
      </c>
      <c r="J323" s="1"/>
      <c r="K323" s="1"/>
      <c r="P323" s="1"/>
      <c r="Q323" s="1"/>
      <c r="R323" s="1"/>
      <c r="S323" s="1"/>
    </row>
    <row r="324" spans="1:19" ht="15.75" thickBot="1" x14ac:dyDescent="0.3">
      <c r="A324" s="45"/>
      <c r="B324" s="214"/>
      <c r="C324" s="145" t="s">
        <v>568</v>
      </c>
      <c r="D324" s="49"/>
      <c r="E324" s="49"/>
      <c r="F324" s="51"/>
      <c r="G324" s="109"/>
      <c r="H324" s="144"/>
      <c r="I324" s="52"/>
      <c r="J324" s="1"/>
      <c r="K324" s="1"/>
      <c r="P324" s="1"/>
      <c r="Q324" s="1"/>
      <c r="R324" s="1"/>
      <c r="S324" s="1"/>
    </row>
    <row r="325" spans="1:19" ht="44.25" customHeight="1" x14ac:dyDescent="0.25">
      <c r="A325" s="4">
        <v>13</v>
      </c>
      <c r="B325" s="226" t="s">
        <v>9</v>
      </c>
      <c r="C325" s="5" t="s">
        <v>25</v>
      </c>
      <c r="D325" s="171" t="s">
        <v>11</v>
      </c>
      <c r="E325" s="4">
        <v>1</v>
      </c>
      <c r="F325" s="6"/>
      <c r="G325" s="172">
        <v>0</v>
      </c>
      <c r="H325" s="6"/>
      <c r="I325" s="42">
        <f>E325*G325</f>
        <v>0</v>
      </c>
      <c r="J325" s="1"/>
      <c r="K325" s="1"/>
      <c r="P325" s="1"/>
      <c r="Q325" s="1"/>
      <c r="R325" s="1"/>
      <c r="S325" s="1"/>
    </row>
    <row r="326" spans="1:19" x14ac:dyDescent="0.25">
      <c r="A326" s="10" t="s">
        <v>77</v>
      </c>
      <c r="B326" s="211" t="s">
        <v>13</v>
      </c>
      <c r="C326" s="70" t="s">
        <v>253</v>
      </c>
      <c r="D326" s="12" t="s">
        <v>14</v>
      </c>
      <c r="E326" s="12">
        <v>1</v>
      </c>
      <c r="F326" s="14">
        <v>0</v>
      </c>
      <c r="G326" s="102"/>
      <c r="H326" s="113">
        <f>E326*F326</f>
        <v>0</v>
      </c>
      <c r="I326" s="15"/>
      <c r="J326" s="1"/>
      <c r="K326" s="1"/>
      <c r="P326" s="1"/>
      <c r="Q326" s="1"/>
      <c r="R326" s="1"/>
      <c r="S326" s="1"/>
    </row>
    <row r="327" spans="1:19" ht="24" customHeight="1" x14ac:dyDescent="0.25">
      <c r="A327" s="10" t="s">
        <v>387</v>
      </c>
      <c r="B327" s="211" t="s">
        <v>13</v>
      </c>
      <c r="C327" s="70" t="s">
        <v>254</v>
      </c>
      <c r="D327" s="12" t="s">
        <v>14</v>
      </c>
      <c r="E327" s="12">
        <v>1</v>
      </c>
      <c r="F327" s="14">
        <v>0</v>
      </c>
      <c r="G327" s="102"/>
      <c r="H327" s="113">
        <f>E327*F327</f>
        <v>0</v>
      </c>
      <c r="I327" s="15"/>
      <c r="J327" s="1"/>
      <c r="K327" s="1"/>
      <c r="P327" s="1"/>
      <c r="Q327" s="1"/>
      <c r="R327" s="1"/>
      <c r="S327" s="1"/>
    </row>
    <row r="328" spans="1:19" ht="28.5" x14ac:dyDescent="0.25">
      <c r="A328" s="16" t="s">
        <v>802</v>
      </c>
      <c r="B328" s="212" t="s">
        <v>9</v>
      </c>
      <c r="C328" s="295" t="s">
        <v>803</v>
      </c>
      <c r="D328" s="18" t="s">
        <v>472</v>
      </c>
      <c r="E328" s="18">
        <v>5</v>
      </c>
      <c r="F328" s="13"/>
      <c r="G328" s="117">
        <v>0</v>
      </c>
      <c r="H328" s="103"/>
      <c r="I328" s="58">
        <f>E328*G328</f>
        <v>0</v>
      </c>
      <c r="J328" s="1"/>
      <c r="K328" s="1"/>
      <c r="P328" s="1"/>
      <c r="Q328" s="1"/>
      <c r="R328" s="1"/>
      <c r="S328" s="1"/>
    </row>
    <row r="329" spans="1:19" ht="42.75" x14ac:dyDescent="0.25">
      <c r="A329" s="315" t="s">
        <v>78</v>
      </c>
      <c r="B329" s="316" t="s">
        <v>9</v>
      </c>
      <c r="C329" s="295" t="s">
        <v>285</v>
      </c>
      <c r="D329" s="75" t="s">
        <v>54</v>
      </c>
      <c r="E329" s="75">
        <f>0.9+3+2.07+3.25+1.614</f>
        <v>10.834</v>
      </c>
      <c r="F329" s="297"/>
      <c r="G329" s="318">
        <v>0</v>
      </c>
      <c r="H329" s="297"/>
      <c r="I329" s="318">
        <f>E329*G329</f>
        <v>0</v>
      </c>
      <c r="J329" s="1"/>
      <c r="K329" s="1"/>
      <c r="P329" s="1"/>
      <c r="Q329" s="1"/>
      <c r="R329" s="1"/>
      <c r="S329" s="1"/>
    </row>
    <row r="330" spans="1:19" x14ac:dyDescent="0.25">
      <c r="A330" s="321" t="s">
        <v>79</v>
      </c>
      <c r="B330" s="205" t="s">
        <v>13</v>
      </c>
      <c r="C330" s="70" t="s">
        <v>55</v>
      </c>
      <c r="D330" s="71" t="s">
        <v>38</v>
      </c>
      <c r="E330" s="72">
        <f>2.25*E329</f>
        <v>24.38</v>
      </c>
      <c r="F330" s="297">
        <v>0</v>
      </c>
      <c r="G330" s="298"/>
      <c r="H330" s="297">
        <f t="shared" ref="H330:H335" si="29">E330*F330</f>
        <v>0</v>
      </c>
      <c r="I330" s="298"/>
      <c r="J330" s="1"/>
      <c r="K330" s="1"/>
      <c r="P330" s="1"/>
      <c r="Q330" s="1"/>
      <c r="R330" s="1"/>
      <c r="S330" s="1"/>
    </row>
    <row r="331" spans="1:19" ht="30" x14ac:dyDescent="0.25">
      <c r="A331" s="321" t="s">
        <v>392</v>
      </c>
      <c r="B331" s="205" t="s">
        <v>13</v>
      </c>
      <c r="C331" s="70" t="s">
        <v>569</v>
      </c>
      <c r="D331" s="71" t="s">
        <v>58</v>
      </c>
      <c r="E331" s="71">
        <v>0.3</v>
      </c>
      <c r="F331" s="297">
        <v>0</v>
      </c>
      <c r="G331" s="298"/>
      <c r="H331" s="297">
        <f t="shared" si="29"/>
        <v>0</v>
      </c>
      <c r="I331" s="298"/>
      <c r="J331" s="1"/>
      <c r="K331" s="1">
        <v>0.9</v>
      </c>
      <c r="P331" s="1"/>
      <c r="Q331" s="1"/>
      <c r="R331" s="1"/>
      <c r="S331" s="1"/>
    </row>
    <row r="332" spans="1:19" ht="30" x14ac:dyDescent="0.25">
      <c r="A332" s="321" t="s">
        <v>393</v>
      </c>
      <c r="B332" s="205" t="s">
        <v>13</v>
      </c>
      <c r="C332" s="70" t="s">
        <v>570</v>
      </c>
      <c r="D332" s="71" t="s">
        <v>58</v>
      </c>
      <c r="E332" s="71">
        <v>1</v>
      </c>
      <c r="F332" s="297"/>
      <c r="G332" s="298"/>
      <c r="H332" s="297"/>
      <c r="I332" s="298"/>
      <c r="J332" s="1"/>
      <c r="K332" s="1">
        <v>3</v>
      </c>
      <c r="P332" s="1"/>
      <c r="Q332" s="1"/>
      <c r="R332" s="1"/>
      <c r="S332" s="1"/>
    </row>
    <row r="333" spans="1:19" x14ac:dyDescent="0.25">
      <c r="A333" s="321" t="s">
        <v>394</v>
      </c>
      <c r="B333" s="205" t="s">
        <v>13</v>
      </c>
      <c r="C333" s="70" t="s">
        <v>571</v>
      </c>
      <c r="D333" s="71" t="s">
        <v>14</v>
      </c>
      <c r="E333" s="71">
        <v>1</v>
      </c>
      <c r="F333" s="297">
        <v>0</v>
      </c>
      <c r="G333" s="298"/>
      <c r="H333" s="297">
        <f t="shared" si="29"/>
        <v>0</v>
      </c>
      <c r="I333" s="298"/>
      <c r="J333" s="1"/>
      <c r="K333" s="1">
        <v>2.0699999999999998</v>
      </c>
      <c r="P333" s="1"/>
      <c r="Q333" s="1"/>
      <c r="R333" s="1"/>
      <c r="S333" s="1"/>
    </row>
    <row r="334" spans="1:19" x14ac:dyDescent="0.25">
      <c r="A334" s="321" t="s">
        <v>395</v>
      </c>
      <c r="B334" s="205" t="s">
        <v>13</v>
      </c>
      <c r="C334" s="70" t="s">
        <v>572</v>
      </c>
      <c r="D334" s="71" t="s">
        <v>14</v>
      </c>
      <c r="E334" s="71">
        <v>1</v>
      </c>
      <c r="F334" s="297">
        <v>0</v>
      </c>
      <c r="G334" s="298"/>
      <c r="H334" s="297">
        <f t="shared" si="29"/>
        <v>0</v>
      </c>
      <c r="I334" s="298"/>
      <c r="J334" s="1"/>
      <c r="K334" s="1">
        <v>3.25</v>
      </c>
      <c r="P334" s="1"/>
      <c r="Q334" s="1"/>
      <c r="R334" s="1"/>
      <c r="S334" s="1"/>
    </row>
    <row r="335" spans="1:19" ht="30" x14ac:dyDescent="0.25">
      <c r="A335" s="321" t="s">
        <v>804</v>
      </c>
      <c r="B335" s="205" t="s">
        <v>13</v>
      </c>
      <c r="C335" s="70" t="s">
        <v>573</v>
      </c>
      <c r="D335" s="12" t="s">
        <v>14</v>
      </c>
      <c r="E335" s="12">
        <v>1</v>
      </c>
      <c r="F335" s="14">
        <v>0</v>
      </c>
      <c r="G335" s="102"/>
      <c r="H335" s="113">
        <f t="shared" si="29"/>
        <v>0</v>
      </c>
      <c r="I335" s="15"/>
      <c r="J335" s="1"/>
      <c r="K335" s="1">
        <v>1.6140000000000001</v>
      </c>
      <c r="L335" s="115">
        <v>0.5</v>
      </c>
      <c r="P335" s="1"/>
      <c r="Q335" s="1"/>
      <c r="R335" s="1"/>
      <c r="S335" s="1"/>
    </row>
    <row r="336" spans="1:19" ht="42.75" x14ac:dyDescent="0.25">
      <c r="A336" s="16" t="s">
        <v>80</v>
      </c>
      <c r="B336" s="215" t="s">
        <v>9</v>
      </c>
      <c r="C336" s="295" t="s">
        <v>255</v>
      </c>
      <c r="D336" s="18" t="s">
        <v>54</v>
      </c>
      <c r="E336" s="18">
        <f>1.26+1.91*2</f>
        <v>5.08</v>
      </c>
      <c r="F336" s="13"/>
      <c r="G336" s="117">
        <v>0</v>
      </c>
      <c r="H336" s="103"/>
      <c r="I336" s="58">
        <f>E336*G336</f>
        <v>0</v>
      </c>
      <c r="J336" s="1"/>
      <c r="K336" s="1"/>
      <c r="P336" s="1"/>
      <c r="Q336" s="1"/>
      <c r="R336" s="1"/>
      <c r="S336" s="1"/>
    </row>
    <row r="337" spans="1:19" x14ac:dyDescent="0.25">
      <c r="A337" s="10" t="s">
        <v>81</v>
      </c>
      <c r="B337" s="227" t="s">
        <v>13</v>
      </c>
      <c r="C337" s="70" t="s">
        <v>165</v>
      </c>
      <c r="D337" s="12" t="s">
        <v>38</v>
      </c>
      <c r="E337" s="78">
        <f>2.55*E336</f>
        <v>12.95</v>
      </c>
      <c r="F337" s="14">
        <v>0</v>
      </c>
      <c r="G337" s="102"/>
      <c r="H337" s="113">
        <f>E337*F337</f>
        <v>0</v>
      </c>
      <c r="I337" s="15"/>
      <c r="J337" s="1"/>
      <c r="K337" s="1"/>
      <c r="P337" s="1"/>
      <c r="Q337" s="1"/>
      <c r="R337" s="1"/>
      <c r="S337" s="1"/>
    </row>
    <row r="338" spans="1:19" ht="30" x14ac:dyDescent="0.25">
      <c r="A338" s="10" t="s">
        <v>82</v>
      </c>
      <c r="B338" s="211" t="s">
        <v>13</v>
      </c>
      <c r="C338" s="70" t="s">
        <v>256</v>
      </c>
      <c r="D338" s="12" t="s">
        <v>58</v>
      </c>
      <c r="E338" s="12">
        <v>0.5</v>
      </c>
      <c r="F338" s="14">
        <v>0</v>
      </c>
      <c r="G338" s="102"/>
      <c r="H338" s="113">
        <f>E338*F338</f>
        <v>0</v>
      </c>
      <c r="I338" s="15"/>
      <c r="J338" s="1"/>
      <c r="K338" s="1"/>
      <c r="P338" s="1"/>
      <c r="Q338" s="1"/>
      <c r="R338" s="1"/>
      <c r="S338" s="1"/>
    </row>
    <row r="339" spans="1:19" x14ac:dyDescent="0.25">
      <c r="A339" s="10" t="s">
        <v>83</v>
      </c>
      <c r="B339" s="211" t="s">
        <v>13</v>
      </c>
      <c r="C339" s="70" t="s">
        <v>257</v>
      </c>
      <c r="D339" s="12" t="s">
        <v>14</v>
      </c>
      <c r="E339" s="12">
        <v>2</v>
      </c>
      <c r="F339" s="14">
        <v>0</v>
      </c>
      <c r="G339" s="102"/>
      <c r="H339" s="113">
        <f>E339*F339</f>
        <v>0</v>
      </c>
      <c r="I339" s="15"/>
      <c r="J339" s="1"/>
      <c r="K339" s="1"/>
      <c r="P339" s="1"/>
      <c r="Q339" s="1"/>
      <c r="R339" s="1"/>
      <c r="S339" s="1"/>
    </row>
    <row r="340" spans="1:19" x14ac:dyDescent="0.25">
      <c r="A340" s="10" t="s">
        <v>84</v>
      </c>
      <c r="B340" s="211" t="s">
        <v>13</v>
      </c>
      <c r="C340" s="70" t="s">
        <v>258</v>
      </c>
      <c r="D340" s="12" t="s">
        <v>54</v>
      </c>
      <c r="E340" s="12">
        <v>0.5</v>
      </c>
      <c r="F340" s="14">
        <v>0</v>
      </c>
      <c r="G340" s="102"/>
      <c r="H340" s="113">
        <f t="shared" ref="H340:H341" si="30">E340*F340</f>
        <v>0</v>
      </c>
      <c r="I340" s="15"/>
      <c r="J340" s="1"/>
      <c r="K340" s="1"/>
      <c r="P340" s="1"/>
      <c r="Q340" s="1"/>
      <c r="R340" s="1"/>
      <c r="S340" s="1"/>
    </row>
    <row r="341" spans="1:19" x14ac:dyDescent="0.25">
      <c r="A341" s="10" t="s">
        <v>85</v>
      </c>
      <c r="B341" s="211" t="s">
        <v>13</v>
      </c>
      <c r="C341" s="70" t="s">
        <v>259</v>
      </c>
      <c r="D341" s="12" t="s">
        <v>14</v>
      </c>
      <c r="E341" s="12">
        <v>1</v>
      </c>
      <c r="F341" s="14">
        <v>0</v>
      </c>
      <c r="G341" s="102"/>
      <c r="H341" s="113">
        <f t="shared" si="30"/>
        <v>0</v>
      </c>
      <c r="I341" s="15"/>
      <c r="J341" s="1"/>
      <c r="K341" s="1"/>
      <c r="P341" s="1"/>
      <c r="Q341" s="1"/>
      <c r="R341" s="1"/>
      <c r="S341" s="1"/>
    </row>
    <row r="342" spans="1:19" ht="28.5" x14ac:dyDescent="0.25">
      <c r="A342" s="16" t="s">
        <v>86</v>
      </c>
      <c r="B342" s="215" t="s">
        <v>9</v>
      </c>
      <c r="C342" s="17" t="s">
        <v>261</v>
      </c>
      <c r="D342" s="18" t="s">
        <v>14</v>
      </c>
      <c r="E342" s="18">
        <v>2</v>
      </c>
      <c r="F342" s="13"/>
      <c r="G342" s="117">
        <v>0</v>
      </c>
      <c r="H342" s="103"/>
      <c r="I342" s="58">
        <f>E342*G342</f>
        <v>0</v>
      </c>
      <c r="J342" s="1"/>
      <c r="K342" s="1"/>
      <c r="P342" s="1"/>
      <c r="Q342" s="1"/>
      <c r="R342" s="1"/>
      <c r="S342" s="1"/>
    </row>
    <row r="343" spans="1:19" ht="30" x14ac:dyDescent="0.25">
      <c r="A343" s="10" t="s">
        <v>87</v>
      </c>
      <c r="B343" s="211" t="s">
        <v>13</v>
      </c>
      <c r="C343" s="11" t="s">
        <v>260</v>
      </c>
      <c r="D343" s="12" t="s">
        <v>14</v>
      </c>
      <c r="E343" s="12">
        <v>1</v>
      </c>
      <c r="F343" s="14">
        <v>0</v>
      </c>
      <c r="G343" s="102"/>
      <c r="H343" s="113">
        <f>E343*F343</f>
        <v>0</v>
      </c>
      <c r="I343" s="15"/>
      <c r="J343" s="1"/>
      <c r="K343" s="1"/>
      <c r="P343" s="1"/>
      <c r="Q343" s="1"/>
      <c r="R343" s="1"/>
      <c r="S343" s="1"/>
    </row>
    <row r="344" spans="1:19" x14ac:dyDescent="0.25">
      <c r="A344" s="10" t="s">
        <v>396</v>
      </c>
      <c r="B344" s="211" t="s">
        <v>13</v>
      </c>
      <c r="C344" s="11" t="s">
        <v>574</v>
      </c>
      <c r="D344" s="12" t="s">
        <v>14</v>
      </c>
      <c r="E344" s="12">
        <v>1</v>
      </c>
      <c r="F344" s="14">
        <v>0</v>
      </c>
      <c r="G344" s="102"/>
      <c r="H344" s="113">
        <f>E344*F344</f>
        <v>0</v>
      </c>
      <c r="I344" s="15"/>
      <c r="J344" s="1"/>
      <c r="K344" s="1"/>
      <c r="P344" s="1"/>
      <c r="Q344" s="1"/>
      <c r="R344" s="1"/>
      <c r="S344" s="1"/>
    </row>
    <row r="345" spans="1:19" ht="28.5" x14ac:dyDescent="0.25">
      <c r="A345" s="16" t="s">
        <v>88</v>
      </c>
      <c r="B345" s="215" t="s">
        <v>9</v>
      </c>
      <c r="C345" s="17" t="s">
        <v>263</v>
      </c>
      <c r="D345" s="19" t="s">
        <v>54</v>
      </c>
      <c r="E345" s="18">
        <v>21.2</v>
      </c>
      <c r="F345" s="13"/>
      <c r="G345" s="117">
        <v>0</v>
      </c>
      <c r="H345" s="103"/>
      <c r="I345" s="58">
        <f>E345*G345</f>
        <v>0</v>
      </c>
      <c r="J345" s="1"/>
      <c r="K345" s="1"/>
      <c r="P345" s="1"/>
      <c r="Q345" s="1"/>
      <c r="R345" s="1"/>
      <c r="S345" s="1"/>
    </row>
    <row r="346" spans="1:19" x14ac:dyDescent="0.25">
      <c r="A346" s="10" t="s">
        <v>89</v>
      </c>
      <c r="B346" s="211" t="s">
        <v>13</v>
      </c>
      <c r="C346" s="188" t="s">
        <v>264</v>
      </c>
      <c r="D346" s="90" t="s">
        <v>54</v>
      </c>
      <c r="E346" s="12">
        <f>1.1*E345</f>
        <v>23.32</v>
      </c>
      <c r="F346" s="14">
        <v>0</v>
      </c>
      <c r="G346" s="102"/>
      <c r="H346" s="113">
        <f>E346*F346</f>
        <v>0</v>
      </c>
      <c r="I346" s="15"/>
      <c r="J346" s="1"/>
      <c r="K346" s="1"/>
      <c r="P346" s="1"/>
      <c r="Q346" s="1"/>
      <c r="R346" s="1"/>
      <c r="S346" s="1"/>
    </row>
    <row r="347" spans="1:19" ht="15.75" thickBot="1" x14ac:dyDescent="0.3">
      <c r="A347" s="54" t="s">
        <v>90</v>
      </c>
      <c r="B347" s="372" t="s">
        <v>13</v>
      </c>
      <c r="C347" s="91" t="s">
        <v>265</v>
      </c>
      <c r="D347" s="92" t="s">
        <v>38</v>
      </c>
      <c r="E347" s="141">
        <f>2.8*E345</f>
        <v>59.36</v>
      </c>
      <c r="F347" s="142">
        <v>0</v>
      </c>
      <c r="G347" s="114"/>
      <c r="H347" s="120">
        <f>E347*F347</f>
        <v>0</v>
      </c>
      <c r="I347" s="127"/>
      <c r="J347" s="1"/>
      <c r="K347" s="1"/>
      <c r="P347" s="1"/>
      <c r="Q347" s="1"/>
      <c r="R347" s="1"/>
      <c r="S347" s="1"/>
    </row>
    <row r="348" spans="1:19" ht="15.75" thickBot="1" x14ac:dyDescent="0.3">
      <c r="A348" s="45"/>
      <c r="B348" s="371"/>
      <c r="C348" s="268" t="s">
        <v>417</v>
      </c>
      <c r="D348" s="48"/>
      <c r="E348" s="49"/>
      <c r="F348" s="51"/>
      <c r="G348" s="109"/>
      <c r="H348" s="121">
        <f>SUM(H326:H347)</f>
        <v>0</v>
      </c>
      <c r="I348" s="86">
        <f>SUM(I325:I347)</f>
        <v>0</v>
      </c>
      <c r="J348" s="1"/>
      <c r="K348" s="1"/>
      <c r="P348" s="1"/>
      <c r="Q348" s="1"/>
      <c r="R348" s="1"/>
      <c r="S348" s="1"/>
    </row>
    <row r="349" spans="1:19" ht="15.75" thickBot="1" x14ac:dyDescent="0.3">
      <c r="A349" s="45"/>
      <c r="B349" s="231"/>
      <c r="C349" s="47" t="s">
        <v>575</v>
      </c>
      <c r="D349" s="48"/>
      <c r="E349" s="49"/>
      <c r="F349" s="132"/>
      <c r="G349" s="109"/>
      <c r="H349" s="144"/>
      <c r="I349" s="52"/>
      <c r="J349" s="1"/>
      <c r="K349" s="1"/>
      <c r="P349" s="1"/>
      <c r="Q349" s="1"/>
      <c r="R349" s="1"/>
      <c r="S349" s="1"/>
    </row>
    <row r="350" spans="1:19" ht="47.25" x14ac:dyDescent="0.25">
      <c r="A350" s="4">
        <v>18</v>
      </c>
      <c r="B350" s="226" t="s">
        <v>9</v>
      </c>
      <c r="C350" s="5" t="s">
        <v>277</v>
      </c>
      <c r="D350" s="171" t="s">
        <v>11</v>
      </c>
      <c r="E350" s="4">
        <v>1</v>
      </c>
      <c r="F350" s="6"/>
      <c r="G350" s="172">
        <v>0</v>
      </c>
      <c r="H350" s="6"/>
      <c r="I350" s="42">
        <f>E350*G350</f>
        <v>0</v>
      </c>
      <c r="J350" s="1"/>
      <c r="K350" s="1"/>
      <c r="P350" s="1"/>
      <c r="Q350" s="1"/>
      <c r="R350" s="1"/>
      <c r="S350" s="1"/>
    </row>
    <row r="351" spans="1:19" ht="30" x14ac:dyDescent="0.25">
      <c r="A351" s="10" t="s">
        <v>93</v>
      </c>
      <c r="B351" s="211" t="s">
        <v>13</v>
      </c>
      <c r="C351" s="70" t="s">
        <v>278</v>
      </c>
      <c r="D351" s="12" t="s">
        <v>14</v>
      </c>
      <c r="E351" s="12">
        <v>1</v>
      </c>
      <c r="F351" s="14">
        <v>0</v>
      </c>
      <c r="G351" s="102"/>
      <c r="H351" s="113">
        <f>E351*F351</f>
        <v>0</v>
      </c>
      <c r="I351" s="15"/>
      <c r="J351" s="1"/>
      <c r="K351" s="1"/>
      <c r="P351" s="1"/>
      <c r="Q351" s="1"/>
      <c r="R351" s="1"/>
      <c r="S351" s="1"/>
    </row>
    <row r="352" spans="1:19" x14ac:dyDescent="0.25">
      <c r="A352" s="10" t="s">
        <v>94</v>
      </c>
      <c r="B352" s="211" t="s">
        <v>13</v>
      </c>
      <c r="C352" s="70" t="s">
        <v>279</v>
      </c>
      <c r="D352" s="12" t="s">
        <v>14</v>
      </c>
      <c r="E352" s="12">
        <v>1</v>
      </c>
      <c r="F352" s="14">
        <v>0</v>
      </c>
      <c r="G352" s="102"/>
      <c r="H352" s="113">
        <f>E352*F352</f>
        <v>0</v>
      </c>
      <c r="I352" s="15"/>
      <c r="J352" s="1"/>
      <c r="K352" s="1"/>
      <c r="P352" s="1"/>
      <c r="Q352" s="1"/>
      <c r="R352" s="1"/>
      <c r="S352" s="1"/>
    </row>
    <row r="353" spans="1:19" ht="26.25" customHeight="1" x14ac:dyDescent="0.25">
      <c r="A353" s="16" t="s">
        <v>805</v>
      </c>
      <c r="B353" s="212" t="s">
        <v>9</v>
      </c>
      <c r="C353" s="295" t="s">
        <v>803</v>
      </c>
      <c r="D353" s="18" t="s">
        <v>472</v>
      </c>
      <c r="E353" s="18">
        <v>5</v>
      </c>
      <c r="F353" s="13"/>
      <c r="G353" s="117">
        <v>0</v>
      </c>
      <c r="H353" s="103"/>
      <c r="I353" s="58">
        <f>E353*G353</f>
        <v>0</v>
      </c>
      <c r="J353" s="1"/>
      <c r="K353" s="1"/>
      <c r="P353" s="1"/>
      <c r="Q353" s="1"/>
      <c r="R353" s="1"/>
      <c r="S353" s="1"/>
    </row>
    <row r="354" spans="1:19" ht="28.5" x14ac:dyDescent="0.25">
      <c r="A354" s="16" t="s">
        <v>96</v>
      </c>
      <c r="B354" s="215" t="s">
        <v>9</v>
      </c>
      <c r="C354" s="295" t="s">
        <v>280</v>
      </c>
      <c r="D354" s="18" t="s">
        <v>14</v>
      </c>
      <c r="E354" s="18">
        <v>1</v>
      </c>
      <c r="F354" s="13"/>
      <c r="G354" s="117">
        <v>0</v>
      </c>
      <c r="H354" s="103"/>
      <c r="I354" s="58">
        <f>E354*G354</f>
        <v>0</v>
      </c>
      <c r="J354" s="1"/>
      <c r="K354" s="1"/>
      <c r="P354" s="1"/>
      <c r="Q354" s="1"/>
      <c r="R354" s="1"/>
      <c r="S354" s="1"/>
    </row>
    <row r="355" spans="1:19" x14ac:dyDescent="0.25">
      <c r="A355" s="10" t="s">
        <v>97</v>
      </c>
      <c r="B355" s="211" t="s">
        <v>13</v>
      </c>
      <c r="C355" s="70" t="s">
        <v>281</v>
      </c>
      <c r="D355" s="12" t="s">
        <v>14</v>
      </c>
      <c r="E355" s="12">
        <v>1</v>
      </c>
      <c r="F355" s="14">
        <v>0</v>
      </c>
      <c r="G355" s="102"/>
      <c r="H355" s="113">
        <f>E355*F355</f>
        <v>0</v>
      </c>
      <c r="I355" s="15"/>
      <c r="J355" s="1"/>
      <c r="K355" s="1"/>
      <c r="P355" s="1"/>
      <c r="Q355" s="1"/>
      <c r="R355" s="1"/>
      <c r="S355" s="1"/>
    </row>
    <row r="356" spans="1:19" ht="28.5" x14ac:dyDescent="0.25">
      <c r="A356" s="29" t="s">
        <v>98</v>
      </c>
      <c r="B356" s="212" t="s">
        <v>9</v>
      </c>
      <c r="C356" s="295" t="s">
        <v>52</v>
      </c>
      <c r="D356" s="18" t="s">
        <v>14</v>
      </c>
      <c r="E356" s="18">
        <v>20</v>
      </c>
      <c r="F356" s="13"/>
      <c r="G356" s="117">
        <v>0</v>
      </c>
      <c r="H356" s="103"/>
      <c r="I356" s="58">
        <f>E356*G356</f>
        <v>0</v>
      </c>
      <c r="J356" s="1"/>
      <c r="K356" s="1"/>
      <c r="P356" s="1"/>
      <c r="Q356" s="1"/>
      <c r="R356" s="1"/>
      <c r="S356" s="1"/>
    </row>
    <row r="357" spans="1:19" ht="30" x14ac:dyDescent="0.25">
      <c r="A357" s="10" t="s">
        <v>414</v>
      </c>
      <c r="B357" s="211" t="s">
        <v>13</v>
      </c>
      <c r="C357" s="70" t="s">
        <v>282</v>
      </c>
      <c r="D357" s="12" t="s">
        <v>14</v>
      </c>
      <c r="E357" s="12">
        <v>20</v>
      </c>
      <c r="F357" s="14">
        <v>0</v>
      </c>
      <c r="G357" s="102"/>
      <c r="H357" s="113">
        <f>E357*F357</f>
        <v>0</v>
      </c>
      <c r="I357" s="15"/>
      <c r="J357" s="1"/>
      <c r="K357" s="1"/>
      <c r="P357" s="1"/>
      <c r="Q357" s="1"/>
      <c r="R357" s="1"/>
      <c r="S357" s="1"/>
    </row>
    <row r="358" spans="1:19" ht="42.75" x14ac:dyDescent="0.25">
      <c r="A358" s="16" t="s">
        <v>99</v>
      </c>
      <c r="B358" s="215" t="s">
        <v>9</v>
      </c>
      <c r="C358" s="17" t="s">
        <v>285</v>
      </c>
      <c r="D358" s="18" t="s">
        <v>54</v>
      </c>
      <c r="E358" s="373">
        <f>162.96+20*0.92+1*0.54+1*1.71+1*3.03+1*0.831</f>
        <v>187.47</v>
      </c>
      <c r="F358" s="13"/>
      <c r="G358" s="117">
        <v>0</v>
      </c>
      <c r="H358" s="103"/>
      <c r="I358" s="58">
        <f>E358*G358</f>
        <v>0</v>
      </c>
      <c r="J358" s="1"/>
      <c r="K358" s="1"/>
      <c r="P358" s="1"/>
      <c r="Q358" s="1"/>
      <c r="R358" s="1"/>
      <c r="S358" s="1"/>
    </row>
    <row r="359" spans="1:19" x14ac:dyDescent="0.25">
      <c r="A359" s="10" t="s">
        <v>100</v>
      </c>
      <c r="B359" s="211" t="s">
        <v>13</v>
      </c>
      <c r="C359" s="11" t="s">
        <v>165</v>
      </c>
      <c r="D359" s="12" t="s">
        <v>38</v>
      </c>
      <c r="E359" s="78">
        <f>2.25*E358</f>
        <v>421.81</v>
      </c>
      <c r="F359" s="14">
        <v>0</v>
      </c>
      <c r="G359" s="102"/>
      <c r="H359" s="113">
        <f t="shared" ref="H359:H365" si="31">E359*F359</f>
        <v>0</v>
      </c>
      <c r="I359" s="15"/>
      <c r="J359" s="1"/>
      <c r="K359" s="1"/>
      <c r="P359" s="1"/>
      <c r="Q359" s="1"/>
      <c r="R359" s="1"/>
      <c r="S359" s="1"/>
    </row>
    <row r="360" spans="1:19" x14ac:dyDescent="0.25">
      <c r="A360" s="10" t="s">
        <v>101</v>
      </c>
      <c r="B360" s="211" t="s">
        <v>13</v>
      </c>
      <c r="C360" s="11" t="s">
        <v>364</v>
      </c>
      <c r="D360" s="12" t="s">
        <v>58</v>
      </c>
      <c r="E360" s="12">
        <v>58.2</v>
      </c>
      <c r="F360" s="14">
        <v>0</v>
      </c>
      <c r="G360" s="102"/>
      <c r="H360" s="113">
        <f t="shared" si="31"/>
        <v>0</v>
      </c>
      <c r="I360" s="15"/>
      <c r="J360" s="1"/>
      <c r="K360" s="1"/>
      <c r="P360" s="1"/>
      <c r="Q360" s="1"/>
      <c r="R360" s="1"/>
      <c r="S360" s="1"/>
    </row>
    <row r="361" spans="1:19" x14ac:dyDescent="0.25">
      <c r="A361" s="10" t="s">
        <v>102</v>
      </c>
      <c r="B361" s="211" t="s">
        <v>13</v>
      </c>
      <c r="C361" s="11" t="s">
        <v>284</v>
      </c>
      <c r="D361" s="12" t="s">
        <v>14</v>
      </c>
      <c r="E361" s="12">
        <v>20</v>
      </c>
      <c r="F361" s="14">
        <v>0</v>
      </c>
      <c r="G361" s="102"/>
      <c r="H361" s="113">
        <f>E361*F361</f>
        <v>0</v>
      </c>
      <c r="I361" s="15"/>
      <c r="J361" s="1"/>
      <c r="K361" s="1">
        <v>0.92</v>
      </c>
      <c r="P361" s="1"/>
      <c r="Q361" s="1"/>
      <c r="R361" s="1"/>
      <c r="S361" s="1"/>
    </row>
    <row r="362" spans="1:19" x14ac:dyDescent="0.25">
      <c r="A362" s="10" t="s">
        <v>103</v>
      </c>
      <c r="B362" s="211" t="s">
        <v>13</v>
      </c>
      <c r="C362" s="70" t="s">
        <v>576</v>
      </c>
      <c r="D362" s="12" t="s">
        <v>14</v>
      </c>
      <c r="E362" s="12">
        <v>1</v>
      </c>
      <c r="F362" s="14">
        <v>0</v>
      </c>
      <c r="G362" s="102"/>
      <c r="H362" s="113">
        <f t="shared" si="31"/>
        <v>0</v>
      </c>
      <c r="I362" s="15"/>
      <c r="J362" s="1"/>
      <c r="K362" s="1">
        <v>0.54</v>
      </c>
      <c r="P362" s="1"/>
      <c r="Q362" s="1"/>
      <c r="R362" s="1"/>
      <c r="S362" s="1"/>
    </row>
    <row r="363" spans="1:19" x14ac:dyDescent="0.25">
      <c r="A363" s="10" t="s">
        <v>104</v>
      </c>
      <c r="B363" s="211" t="s">
        <v>13</v>
      </c>
      <c r="C363" s="70" t="s">
        <v>354</v>
      </c>
      <c r="D363" s="12" t="s">
        <v>14</v>
      </c>
      <c r="E363" s="12">
        <v>1</v>
      </c>
      <c r="F363" s="14">
        <v>0</v>
      </c>
      <c r="G363" s="102"/>
      <c r="H363" s="113">
        <f t="shared" si="31"/>
        <v>0</v>
      </c>
      <c r="I363" s="15"/>
      <c r="J363" s="1"/>
      <c r="K363" s="1">
        <v>1.71</v>
      </c>
      <c r="P363" s="1"/>
      <c r="Q363" s="1"/>
      <c r="R363" s="1"/>
      <c r="S363" s="1"/>
    </row>
    <row r="364" spans="1:19" x14ac:dyDescent="0.25">
      <c r="A364" s="10" t="s">
        <v>451</v>
      </c>
      <c r="B364" s="211" t="s">
        <v>13</v>
      </c>
      <c r="C364" s="11" t="s">
        <v>355</v>
      </c>
      <c r="D364" s="12" t="s">
        <v>14</v>
      </c>
      <c r="E364" s="12">
        <v>1</v>
      </c>
      <c r="F364" s="14">
        <v>0</v>
      </c>
      <c r="G364" s="102"/>
      <c r="H364" s="113">
        <f t="shared" si="31"/>
        <v>0</v>
      </c>
      <c r="I364" s="15"/>
      <c r="J364" s="1"/>
      <c r="K364" s="1">
        <v>3.03</v>
      </c>
      <c r="P364" s="1"/>
      <c r="Q364" s="1"/>
      <c r="R364" s="1"/>
      <c r="S364" s="1"/>
    </row>
    <row r="365" spans="1:19" ht="30" x14ac:dyDescent="0.25">
      <c r="A365" s="10" t="s">
        <v>452</v>
      </c>
      <c r="B365" s="211" t="s">
        <v>13</v>
      </c>
      <c r="C365" s="70" t="s">
        <v>356</v>
      </c>
      <c r="D365" s="12" t="s">
        <v>14</v>
      </c>
      <c r="E365" s="12">
        <v>1</v>
      </c>
      <c r="F365" s="14">
        <v>0</v>
      </c>
      <c r="G365" s="102"/>
      <c r="H365" s="113">
        <f t="shared" si="31"/>
        <v>0</v>
      </c>
      <c r="I365" s="15"/>
      <c r="J365" s="1"/>
      <c r="K365" s="1">
        <v>0.83099999999999996</v>
      </c>
      <c r="P365" s="1"/>
      <c r="Q365" s="1"/>
      <c r="R365" s="1"/>
      <c r="S365" s="1"/>
    </row>
    <row r="366" spans="1:19" ht="42.75" x14ac:dyDescent="0.25">
      <c r="A366" s="18">
        <v>21</v>
      </c>
      <c r="B366" s="215" t="s">
        <v>9</v>
      </c>
      <c r="C366" s="295" t="s">
        <v>291</v>
      </c>
      <c r="D366" s="18" t="s">
        <v>54</v>
      </c>
      <c r="E366" s="18">
        <f>1.41+2*1+1*0.22</f>
        <v>3.63</v>
      </c>
      <c r="F366" s="13"/>
      <c r="G366" s="117">
        <v>0</v>
      </c>
      <c r="H366" s="103"/>
      <c r="I366" s="58">
        <f>E366*G366</f>
        <v>0</v>
      </c>
      <c r="J366" s="1"/>
      <c r="K366" s="1"/>
      <c r="P366" s="1"/>
      <c r="Q366" s="1"/>
      <c r="R366" s="1"/>
      <c r="S366" s="1"/>
    </row>
    <row r="367" spans="1:19" x14ac:dyDescent="0.25">
      <c r="A367" s="10" t="s">
        <v>149</v>
      </c>
      <c r="B367" s="211" t="s">
        <v>13</v>
      </c>
      <c r="C367" s="11" t="s">
        <v>165</v>
      </c>
      <c r="D367" s="12" t="s">
        <v>38</v>
      </c>
      <c r="E367" s="78">
        <f>1.22*E366</f>
        <v>4.43</v>
      </c>
      <c r="F367" s="14">
        <v>0</v>
      </c>
      <c r="G367" s="102"/>
      <c r="H367" s="113">
        <f>E367*F367</f>
        <v>0</v>
      </c>
      <c r="I367" s="15"/>
      <c r="J367" s="1"/>
      <c r="K367" s="1"/>
      <c r="P367" s="1"/>
      <c r="Q367" s="1"/>
      <c r="R367" s="1"/>
      <c r="S367" s="1"/>
    </row>
    <row r="368" spans="1:19" ht="30" x14ac:dyDescent="0.25">
      <c r="A368" s="10" t="s">
        <v>139</v>
      </c>
      <c r="B368" s="211" t="s">
        <v>13</v>
      </c>
      <c r="C368" s="374" t="s">
        <v>292</v>
      </c>
      <c r="D368" s="12" t="s">
        <v>58</v>
      </c>
      <c r="E368" s="12">
        <v>0.8</v>
      </c>
      <c r="F368" s="14">
        <v>0</v>
      </c>
      <c r="G368" s="102"/>
      <c r="H368" s="113">
        <f t="shared" ref="H368:H371" si="32">E368*F368</f>
        <v>0</v>
      </c>
      <c r="I368" s="15"/>
      <c r="J368" s="1"/>
      <c r="K368" s="1"/>
      <c r="P368" s="1"/>
      <c r="Q368" s="1"/>
      <c r="R368" s="1"/>
      <c r="S368" s="1"/>
    </row>
    <row r="369" spans="1:19" x14ac:dyDescent="0.25">
      <c r="A369" s="10" t="s">
        <v>140</v>
      </c>
      <c r="B369" s="211" t="s">
        <v>13</v>
      </c>
      <c r="C369" s="70" t="s">
        <v>293</v>
      </c>
      <c r="D369" s="12" t="s">
        <v>14</v>
      </c>
      <c r="E369" s="12">
        <v>2</v>
      </c>
      <c r="F369" s="14">
        <v>0</v>
      </c>
      <c r="G369" s="102"/>
      <c r="H369" s="113">
        <f t="shared" si="32"/>
        <v>0</v>
      </c>
      <c r="I369" s="15"/>
      <c r="J369" s="1"/>
      <c r="K369" s="1">
        <v>1</v>
      </c>
      <c r="P369" s="1"/>
      <c r="Q369" s="1"/>
      <c r="R369" s="1"/>
      <c r="S369" s="1"/>
    </row>
    <row r="370" spans="1:19" x14ac:dyDescent="0.25">
      <c r="A370" s="10" t="s">
        <v>141</v>
      </c>
      <c r="B370" s="211" t="s">
        <v>13</v>
      </c>
      <c r="C370" s="70" t="s">
        <v>294</v>
      </c>
      <c r="D370" s="20" t="s">
        <v>14</v>
      </c>
      <c r="E370" s="20">
        <v>1</v>
      </c>
      <c r="F370" s="14">
        <v>0</v>
      </c>
      <c r="G370" s="102"/>
      <c r="H370" s="113">
        <f t="shared" si="32"/>
        <v>0</v>
      </c>
      <c r="I370" s="15"/>
      <c r="J370" s="1"/>
      <c r="K370" s="1"/>
      <c r="P370" s="1"/>
      <c r="Q370" s="1"/>
      <c r="R370" s="1"/>
      <c r="S370" s="1"/>
    </row>
    <row r="371" spans="1:19" x14ac:dyDescent="0.25">
      <c r="A371" s="10" t="s">
        <v>453</v>
      </c>
      <c r="B371" s="229" t="s">
        <v>13</v>
      </c>
      <c r="C371" s="70" t="s">
        <v>295</v>
      </c>
      <c r="D371" s="20" t="s">
        <v>14</v>
      </c>
      <c r="E371" s="20">
        <v>1</v>
      </c>
      <c r="F371" s="14">
        <v>0</v>
      </c>
      <c r="G371" s="102"/>
      <c r="H371" s="113">
        <f t="shared" si="32"/>
        <v>0</v>
      </c>
      <c r="I371" s="15"/>
      <c r="J371" s="1"/>
      <c r="K371" s="1"/>
      <c r="P371" s="1"/>
      <c r="Q371" s="1"/>
      <c r="R371" s="1"/>
      <c r="S371" s="1"/>
    </row>
    <row r="372" spans="1:19" ht="28.5" x14ac:dyDescent="0.25">
      <c r="A372" s="16" t="s">
        <v>108</v>
      </c>
      <c r="B372" s="228" t="s">
        <v>9</v>
      </c>
      <c r="C372" s="17" t="s">
        <v>211</v>
      </c>
      <c r="D372" s="19" t="s">
        <v>54</v>
      </c>
      <c r="E372" s="18">
        <v>180</v>
      </c>
      <c r="F372" s="28"/>
      <c r="G372" s="117">
        <v>0</v>
      </c>
      <c r="H372" s="103"/>
      <c r="I372" s="58">
        <f>E372*G372</f>
        <v>0</v>
      </c>
      <c r="J372" s="1"/>
      <c r="K372" s="1"/>
      <c r="P372" s="1"/>
      <c r="Q372" s="1"/>
      <c r="R372" s="1"/>
      <c r="S372" s="1"/>
    </row>
    <row r="373" spans="1:19" x14ac:dyDescent="0.25">
      <c r="A373" s="10" t="s">
        <v>106</v>
      </c>
      <c r="B373" s="229" t="s">
        <v>13</v>
      </c>
      <c r="C373" s="188" t="s">
        <v>209</v>
      </c>
      <c r="D373" s="90" t="s">
        <v>54</v>
      </c>
      <c r="E373" s="12">
        <f>1.1*E372</f>
        <v>198</v>
      </c>
      <c r="F373" s="33">
        <v>0</v>
      </c>
      <c r="G373" s="102"/>
      <c r="H373" s="113">
        <f>E373*F373</f>
        <v>0</v>
      </c>
      <c r="I373" s="15"/>
      <c r="J373" s="1"/>
      <c r="K373" s="1"/>
      <c r="P373" s="1"/>
      <c r="Q373" s="1"/>
      <c r="R373" s="1"/>
      <c r="S373" s="1"/>
    </row>
    <row r="374" spans="1:19" ht="15.75" thickBot="1" x14ac:dyDescent="0.3">
      <c r="A374" s="54" t="s">
        <v>107</v>
      </c>
      <c r="B374" s="200" t="s">
        <v>13</v>
      </c>
      <c r="C374" s="91" t="s">
        <v>266</v>
      </c>
      <c r="D374" s="92" t="s">
        <v>38</v>
      </c>
      <c r="E374" s="141">
        <f>0.7*E372</f>
        <v>126</v>
      </c>
      <c r="F374" s="186">
        <v>0</v>
      </c>
      <c r="G374" s="114"/>
      <c r="H374" s="120">
        <f>E374*F374</f>
        <v>0</v>
      </c>
      <c r="I374" s="127"/>
      <c r="J374" s="1"/>
      <c r="K374" s="1"/>
      <c r="P374" s="1"/>
      <c r="Q374" s="1"/>
      <c r="R374" s="1"/>
      <c r="S374" s="1"/>
    </row>
    <row r="375" spans="1:19" ht="15.75" thickBot="1" x14ac:dyDescent="0.3">
      <c r="A375" s="45"/>
      <c r="B375" s="216"/>
      <c r="C375" s="268" t="s">
        <v>417</v>
      </c>
      <c r="D375" s="3"/>
      <c r="E375" s="85"/>
      <c r="F375" s="99"/>
      <c r="G375" s="136"/>
      <c r="H375" s="121">
        <f>SUM(H351:H374)</f>
        <v>0</v>
      </c>
      <c r="I375" s="86">
        <f>SUM(I350:I374)</f>
        <v>0</v>
      </c>
      <c r="J375" s="1"/>
      <c r="K375" s="1"/>
      <c r="P375" s="1"/>
      <c r="Q375" s="1"/>
      <c r="R375" s="1"/>
      <c r="S375" s="1"/>
    </row>
    <row r="376" spans="1:19" ht="15.75" thickBot="1" x14ac:dyDescent="0.3">
      <c r="A376" s="45"/>
      <c r="B376" s="231"/>
      <c r="C376" s="47" t="s">
        <v>577</v>
      </c>
      <c r="D376" s="48"/>
      <c r="E376" s="49"/>
      <c r="F376" s="132"/>
      <c r="G376" s="109"/>
      <c r="H376" s="144"/>
      <c r="I376" s="52"/>
      <c r="J376" s="1"/>
      <c r="K376" s="1"/>
      <c r="P376" s="1"/>
      <c r="Q376" s="1"/>
      <c r="R376" s="1"/>
      <c r="S376" s="1"/>
    </row>
    <row r="377" spans="1:19" ht="47.25" x14ac:dyDescent="0.25">
      <c r="A377" s="4">
        <v>23</v>
      </c>
      <c r="B377" s="226" t="s">
        <v>9</v>
      </c>
      <c r="C377" s="5" t="s">
        <v>277</v>
      </c>
      <c r="D377" s="171" t="s">
        <v>11</v>
      </c>
      <c r="E377" s="4">
        <v>1</v>
      </c>
      <c r="F377" s="6"/>
      <c r="G377" s="172">
        <v>0</v>
      </c>
      <c r="H377" s="6"/>
      <c r="I377" s="42">
        <f>E377*G377</f>
        <v>0</v>
      </c>
      <c r="J377" s="1"/>
      <c r="K377" s="1"/>
      <c r="P377" s="1"/>
      <c r="Q377" s="1"/>
      <c r="R377" s="1"/>
      <c r="S377" s="1"/>
    </row>
    <row r="378" spans="1:19" ht="30" x14ac:dyDescent="0.25">
      <c r="A378" s="10" t="s">
        <v>110</v>
      </c>
      <c r="B378" s="211" t="s">
        <v>13</v>
      </c>
      <c r="C378" s="70" t="s">
        <v>278</v>
      </c>
      <c r="D378" s="12" t="s">
        <v>14</v>
      </c>
      <c r="E378" s="12">
        <v>1</v>
      </c>
      <c r="F378" s="14">
        <v>0</v>
      </c>
      <c r="G378" s="102"/>
      <c r="H378" s="113">
        <f>E378*F378</f>
        <v>0</v>
      </c>
      <c r="I378" s="15"/>
      <c r="J378" s="1"/>
      <c r="K378" s="1"/>
      <c r="P378" s="1"/>
      <c r="Q378" s="1"/>
      <c r="R378" s="1"/>
      <c r="S378" s="1"/>
    </row>
    <row r="379" spans="1:19" x14ac:dyDescent="0.25">
      <c r="A379" s="10" t="s">
        <v>111</v>
      </c>
      <c r="B379" s="211" t="s">
        <v>13</v>
      </c>
      <c r="C379" s="70" t="s">
        <v>279</v>
      </c>
      <c r="D379" s="12" t="s">
        <v>14</v>
      </c>
      <c r="E379" s="12">
        <v>1</v>
      </c>
      <c r="F379" s="14">
        <v>0</v>
      </c>
      <c r="G379" s="102"/>
      <c r="H379" s="113">
        <f>E379*F379</f>
        <v>0</v>
      </c>
      <c r="I379" s="15"/>
      <c r="J379" s="1"/>
      <c r="K379" s="1"/>
      <c r="P379" s="1"/>
      <c r="Q379" s="1"/>
      <c r="R379" s="1"/>
      <c r="S379" s="1"/>
    </row>
    <row r="380" spans="1:19" ht="28.5" x14ac:dyDescent="0.25">
      <c r="A380" s="16" t="s">
        <v>806</v>
      </c>
      <c r="B380" s="212" t="s">
        <v>9</v>
      </c>
      <c r="C380" s="295" t="s">
        <v>803</v>
      </c>
      <c r="D380" s="18" t="s">
        <v>472</v>
      </c>
      <c r="E380" s="18">
        <v>5</v>
      </c>
      <c r="F380" s="13"/>
      <c r="G380" s="117">
        <v>0</v>
      </c>
      <c r="H380" s="103"/>
      <c r="I380" s="58">
        <f>E380*G380</f>
        <v>0</v>
      </c>
      <c r="J380" s="1"/>
      <c r="K380" s="1"/>
      <c r="P380" s="1"/>
      <c r="Q380" s="1"/>
      <c r="R380" s="1"/>
      <c r="S380" s="1"/>
    </row>
    <row r="381" spans="1:19" ht="28.5" x14ac:dyDescent="0.25">
      <c r="A381" s="16" t="s">
        <v>112</v>
      </c>
      <c r="B381" s="215" t="s">
        <v>9</v>
      </c>
      <c r="C381" s="295" t="s">
        <v>280</v>
      </c>
      <c r="D381" s="18" t="s">
        <v>14</v>
      </c>
      <c r="E381" s="18">
        <v>1</v>
      </c>
      <c r="F381" s="13"/>
      <c r="G381" s="117">
        <v>0</v>
      </c>
      <c r="H381" s="103"/>
      <c r="I381" s="58">
        <f>E381*G381</f>
        <v>0</v>
      </c>
      <c r="J381" s="1"/>
      <c r="K381" s="1"/>
      <c r="P381" s="1"/>
      <c r="Q381" s="1"/>
      <c r="R381" s="1"/>
      <c r="S381" s="1"/>
    </row>
    <row r="382" spans="1:19" x14ac:dyDescent="0.25">
      <c r="A382" s="10" t="s">
        <v>113</v>
      </c>
      <c r="B382" s="211" t="s">
        <v>13</v>
      </c>
      <c r="C382" s="70" t="s">
        <v>281</v>
      </c>
      <c r="D382" s="12" t="s">
        <v>14</v>
      </c>
      <c r="E382" s="12">
        <v>1</v>
      </c>
      <c r="F382" s="14">
        <v>0</v>
      </c>
      <c r="G382" s="102"/>
      <c r="H382" s="113">
        <f>E382*F382</f>
        <v>0</v>
      </c>
      <c r="I382" s="15"/>
      <c r="J382" s="1"/>
      <c r="K382" s="1"/>
      <c r="P382" s="1"/>
      <c r="Q382" s="1"/>
      <c r="R382" s="1"/>
      <c r="S382" s="1"/>
    </row>
    <row r="383" spans="1:19" ht="28.5" x14ac:dyDescent="0.25">
      <c r="A383" s="26" t="s">
        <v>115</v>
      </c>
      <c r="B383" s="212" t="s">
        <v>9</v>
      </c>
      <c r="C383" s="295" t="s">
        <v>52</v>
      </c>
      <c r="D383" s="18" t="s">
        <v>14</v>
      </c>
      <c r="E383" s="18">
        <v>20</v>
      </c>
      <c r="F383" s="13"/>
      <c r="G383" s="117">
        <v>0</v>
      </c>
      <c r="H383" s="103"/>
      <c r="I383" s="58">
        <f>E383*G383</f>
        <v>0</v>
      </c>
      <c r="J383" s="1"/>
      <c r="K383" s="1"/>
      <c r="P383" s="1"/>
      <c r="Q383" s="1"/>
      <c r="R383" s="1"/>
      <c r="S383" s="1"/>
    </row>
    <row r="384" spans="1:19" ht="30" x14ac:dyDescent="0.25">
      <c r="A384" s="10" t="s">
        <v>116</v>
      </c>
      <c r="B384" s="211" t="s">
        <v>13</v>
      </c>
      <c r="C384" s="70" t="s">
        <v>282</v>
      </c>
      <c r="D384" s="12" t="s">
        <v>14</v>
      </c>
      <c r="E384" s="12">
        <v>20</v>
      </c>
      <c r="F384" s="14">
        <v>0</v>
      </c>
      <c r="G384" s="102"/>
      <c r="H384" s="113">
        <f>E384*F384</f>
        <v>0</v>
      </c>
      <c r="I384" s="15"/>
      <c r="J384" s="1"/>
      <c r="K384" s="1"/>
      <c r="P384" s="1"/>
      <c r="Q384" s="1"/>
      <c r="R384" s="1"/>
      <c r="S384" s="1"/>
    </row>
    <row r="385" spans="1:19" ht="42.75" x14ac:dyDescent="0.25">
      <c r="A385" s="16" t="s">
        <v>118</v>
      </c>
      <c r="B385" s="215" t="s">
        <v>9</v>
      </c>
      <c r="C385" s="17" t="s">
        <v>285</v>
      </c>
      <c r="D385" s="18" t="s">
        <v>54</v>
      </c>
      <c r="E385" s="373">
        <f>169.4+20*0.92+1*0.54+3*1.71+1*3.03+1*0.831</f>
        <v>197.33</v>
      </c>
      <c r="F385" s="13"/>
      <c r="G385" s="117">
        <v>0</v>
      </c>
      <c r="H385" s="103"/>
      <c r="I385" s="58">
        <f>E385*G385</f>
        <v>0</v>
      </c>
      <c r="J385" s="1"/>
      <c r="K385" s="1"/>
      <c r="P385" s="1"/>
      <c r="Q385" s="1"/>
      <c r="R385" s="1"/>
      <c r="S385" s="1"/>
    </row>
    <row r="386" spans="1:19" x14ac:dyDescent="0.25">
      <c r="A386" s="10" t="s">
        <v>119</v>
      </c>
      <c r="B386" s="211" t="s">
        <v>13</v>
      </c>
      <c r="C386" s="11" t="s">
        <v>165</v>
      </c>
      <c r="D386" s="12" t="s">
        <v>38</v>
      </c>
      <c r="E386" s="78">
        <f>2.25*E385</f>
        <v>443.99</v>
      </c>
      <c r="F386" s="14">
        <v>0</v>
      </c>
      <c r="G386" s="102"/>
      <c r="H386" s="113">
        <f t="shared" ref="H386:H387" si="33">E386*F386</f>
        <v>0</v>
      </c>
      <c r="I386" s="15"/>
      <c r="J386" s="1"/>
      <c r="K386" s="1"/>
      <c r="P386" s="1"/>
      <c r="Q386" s="1"/>
      <c r="R386" s="1"/>
      <c r="S386" s="1"/>
    </row>
    <row r="387" spans="1:19" x14ac:dyDescent="0.25">
      <c r="A387" s="10" t="s">
        <v>120</v>
      </c>
      <c r="B387" s="211" t="s">
        <v>13</v>
      </c>
      <c r="C387" s="11" t="s">
        <v>364</v>
      </c>
      <c r="D387" s="12" t="s">
        <v>58</v>
      </c>
      <c r="E387" s="12">
        <v>60.5</v>
      </c>
      <c r="F387" s="14">
        <v>0</v>
      </c>
      <c r="G387" s="102"/>
      <c r="H387" s="113">
        <f t="shared" si="33"/>
        <v>0</v>
      </c>
      <c r="I387" s="15"/>
      <c r="J387" s="1"/>
      <c r="K387" s="1"/>
      <c r="P387" s="1"/>
      <c r="Q387" s="1"/>
      <c r="R387" s="1"/>
      <c r="S387" s="1"/>
    </row>
    <row r="388" spans="1:19" x14ac:dyDescent="0.25">
      <c r="A388" s="10" t="s">
        <v>121</v>
      </c>
      <c r="B388" s="211" t="s">
        <v>13</v>
      </c>
      <c r="C388" s="11" t="s">
        <v>284</v>
      </c>
      <c r="D388" s="12" t="s">
        <v>14</v>
      </c>
      <c r="E388" s="12">
        <v>20</v>
      </c>
      <c r="F388" s="14">
        <v>0</v>
      </c>
      <c r="G388" s="102"/>
      <c r="H388" s="113">
        <f>E388*F388</f>
        <v>0</v>
      </c>
      <c r="I388" s="15"/>
      <c r="J388" s="1"/>
      <c r="K388" s="1"/>
      <c r="P388" s="1"/>
      <c r="Q388" s="1"/>
      <c r="R388" s="1"/>
      <c r="S388" s="1"/>
    </row>
    <row r="389" spans="1:19" x14ac:dyDescent="0.25">
      <c r="A389" s="10" t="s">
        <v>437</v>
      </c>
      <c r="B389" s="211" t="s">
        <v>13</v>
      </c>
      <c r="C389" s="70" t="s">
        <v>576</v>
      </c>
      <c r="D389" s="12" t="s">
        <v>14</v>
      </c>
      <c r="E389" s="12">
        <v>1</v>
      </c>
      <c r="F389" s="14">
        <v>0</v>
      </c>
      <c r="G389" s="102"/>
      <c r="H389" s="113">
        <f t="shared" ref="H389:H392" si="34">E389*F389</f>
        <v>0</v>
      </c>
      <c r="I389" s="15"/>
      <c r="J389" s="1"/>
      <c r="K389" s="1"/>
      <c r="P389" s="1"/>
      <c r="Q389" s="1"/>
      <c r="R389" s="1"/>
      <c r="S389" s="1"/>
    </row>
    <row r="390" spans="1:19" x14ac:dyDescent="0.25">
      <c r="A390" s="10" t="s">
        <v>438</v>
      </c>
      <c r="B390" s="211" t="s">
        <v>13</v>
      </c>
      <c r="C390" s="70" t="s">
        <v>354</v>
      </c>
      <c r="D390" s="12" t="s">
        <v>14</v>
      </c>
      <c r="E390" s="12">
        <v>3</v>
      </c>
      <c r="F390" s="14">
        <v>0</v>
      </c>
      <c r="G390" s="102"/>
      <c r="H390" s="113">
        <f t="shared" si="34"/>
        <v>0</v>
      </c>
      <c r="I390" s="15"/>
      <c r="J390" s="1"/>
      <c r="K390" s="1"/>
      <c r="P390" s="1"/>
      <c r="Q390" s="1"/>
      <c r="R390" s="1"/>
      <c r="S390" s="1"/>
    </row>
    <row r="391" spans="1:19" x14ac:dyDescent="0.25">
      <c r="A391" s="10" t="s">
        <v>439</v>
      </c>
      <c r="B391" s="211" t="s">
        <v>13</v>
      </c>
      <c r="C391" s="11" t="s">
        <v>355</v>
      </c>
      <c r="D391" s="12" t="s">
        <v>14</v>
      </c>
      <c r="E391" s="12">
        <v>1</v>
      </c>
      <c r="F391" s="14">
        <v>0</v>
      </c>
      <c r="G391" s="102"/>
      <c r="H391" s="113">
        <f t="shared" si="34"/>
        <v>0</v>
      </c>
      <c r="I391" s="15"/>
      <c r="J391" s="1"/>
      <c r="K391" s="1"/>
      <c r="P391" s="1"/>
      <c r="Q391" s="1"/>
      <c r="R391" s="1"/>
      <c r="S391" s="1"/>
    </row>
    <row r="392" spans="1:19" ht="30" x14ac:dyDescent="0.25">
      <c r="A392" s="10" t="s">
        <v>440</v>
      </c>
      <c r="B392" s="211" t="s">
        <v>13</v>
      </c>
      <c r="C392" s="70" t="s">
        <v>356</v>
      </c>
      <c r="D392" s="12" t="s">
        <v>14</v>
      </c>
      <c r="E392" s="12">
        <v>1</v>
      </c>
      <c r="F392" s="14">
        <v>0</v>
      </c>
      <c r="G392" s="102"/>
      <c r="H392" s="113">
        <f t="shared" si="34"/>
        <v>0</v>
      </c>
      <c r="I392" s="15"/>
      <c r="J392" s="1"/>
      <c r="K392" s="1"/>
      <c r="P392" s="1"/>
      <c r="Q392" s="1"/>
      <c r="R392" s="1"/>
      <c r="S392" s="1"/>
    </row>
    <row r="393" spans="1:19" s="350" customFormat="1" ht="42.75" x14ac:dyDescent="0.25">
      <c r="A393" s="18">
        <v>27</v>
      </c>
      <c r="B393" s="215" t="s">
        <v>9</v>
      </c>
      <c r="C393" s="295" t="s">
        <v>291</v>
      </c>
      <c r="D393" s="18" t="s">
        <v>54</v>
      </c>
      <c r="E393" s="18">
        <f>1.41+2*1+1*0.22</f>
        <v>3.63</v>
      </c>
      <c r="F393" s="13"/>
      <c r="G393" s="117">
        <v>0</v>
      </c>
      <c r="H393" s="103"/>
      <c r="I393" s="58">
        <f>E393*G393</f>
        <v>0</v>
      </c>
      <c r="L393" s="116"/>
      <c r="M393" s="116"/>
      <c r="N393" s="116"/>
      <c r="O393" s="116"/>
    </row>
    <row r="394" spans="1:19" s="350" customFormat="1" x14ac:dyDescent="0.25">
      <c r="A394" s="10" t="s">
        <v>123</v>
      </c>
      <c r="B394" s="211" t="s">
        <v>13</v>
      </c>
      <c r="C394" s="11" t="s">
        <v>165</v>
      </c>
      <c r="D394" s="12" t="s">
        <v>38</v>
      </c>
      <c r="E394" s="78">
        <f>1.22*E393</f>
        <v>4.43</v>
      </c>
      <c r="F394" s="14">
        <v>0</v>
      </c>
      <c r="G394" s="102"/>
      <c r="H394" s="113">
        <f>E394*F394</f>
        <v>0</v>
      </c>
      <c r="I394" s="15"/>
      <c r="L394" s="116"/>
      <c r="M394" s="116"/>
      <c r="N394" s="116"/>
      <c r="O394" s="116"/>
    </row>
    <row r="395" spans="1:19" s="350" customFormat="1" ht="30" x14ac:dyDescent="0.25">
      <c r="A395" s="10" t="s">
        <v>124</v>
      </c>
      <c r="B395" s="211" t="s">
        <v>13</v>
      </c>
      <c r="C395" s="374" t="s">
        <v>292</v>
      </c>
      <c r="D395" s="12" t="s">
        <v>58</v>
      </c>
      <c r="E395" s="12">
        <v>0.8</v>
      </c>
      <c r="F395" s="14">
        <v>0</v>
      </c>
      <c r="G395" s="102"/>
      <c r="H395" s="113">
        <f t="shared" ref="H395:H398" si="35">E395*F395</f>
        <v>0</v>
      </c>
      <c r="I395" s="15"/>
      <c r="L395" s="116"/>
      <c r="M395" s="116"/>
      <c r="N395" s="116"/>
      <c r="O395" s="116"/>
    </row>
    <row r="396" spans="1:19" s="350" customFormat="1" x14ac:dyDescent="0.25">
      <c r="A396" s="10" t="s">
        <v>807</v>
      </c>
      <c r="B396" s="211" t="s">
        <v>13</v>
      </c>
      <c r="C396" s="70" t="s">
        <v>293</v>
      </c>
      <c r="D396" s="12" t="s">
        <v>14</v>
      </c>
      <c r="E396" s="12">
        <v>2</v>
      </c>
      <c r="F396" s="14">
        <v>0</v>
      </c>
      <c r="G396" s="102"/>
      <c r="H396" s="113">
        <f t="shared" si="35"/>
        <v>0</v>
      </c>
      <c r="I396" s="15"/>
      <c r="L396" s="116"/>
      <c r="M396" s="116"/>
      <c r="N396" s="116"/>
      <c r="O396" s="116"/>
    </row>
    <row r="397" spans="1:19" s="350" customFormat="1" x14ac:dyDescent="0.25">
      <c r="A397" s="10" t="s">
        <v>808</v>
      </c>
      <c r="B397" s="211" t="s">
        <v>13</v>
      </c>
      <c r="C397" s="70" t="s">
        <v>294</v>
      </c>
      <c r="D397" s="20" t="s">
        <v>14</v>
      </c>
      <c r="E397" s="20">
        <v>1</v>
      </c>
      <c r="F397" s="14">
        <v>0</v>
      </c>
      <c r="G397" s="102"/>
      <c r="H397" s="113">
        <f t="shared" si="35"/>
        <v>0</v>
      </c>
      <c r="I397" s="15"/>
      <c r="L397" s="116"/>
      <c r="M397" s="116"/>
      <c r="N397" s="116"/>
      <c r="O397" s="116"/>
    </row>
    <row r="398" spans="1:19" s="350" customFormat="1" x14ac:dyDescent="0.25">
      <c r="A398" s="10" t="s">
        <v>809</v>
      </c>
      <c r="B398" s="229" t="s">
        <v>13</v>
      </c>
      <c r="C398" s="70" t="s">
        <v>295</v>
      </c>
      <c r="D398" s="20" t="s">
        <v>14</v>
      </c>
      <c r="E398" s="20">
        <v>1</v>
      </c>
      <c r="F398" s="14">
        <v>0</v>
      </c>
      <c r="G398" s="102"/>
      <c r="H398" s="113">
        <f t="shared" si="35"/>
        <v>0</v>
      </c>
      <c r="I398" s="15"/>
      <c r="L398" s="116"/>
      <c r="M398" s="116"/>
      <c r="N398" s="116"/>
      <c r="O398" s="116"/>
    </row>
    <row r="399" spans="1:19" s="350" customFormat="1" ht="28.5" x14ac:dyDescent="0.25">
      <c r="A399" s="16" t="s">
        <v>125</v>
      </c>
      <c r="B399" s="228" t="s">
        <v>9</v>
      </c>
      <c r="C399" s="17" t="s">
        <v>211</v>
      </c>
      <c r="D399" s="19" t="s">
        <v>54</v>
      </c>
      <c r="E399" s="18">
        <v>190.2</v>
      </c>
      <c r="F399" s="28"/>
      <c r="G399" s="117">
        <v>0</v>
      </c>
      <c r="H399" s="103"/>
      <c r="I399" s="58">
        <f>E399*G399</f>
        <v>0</v>
      </c>
      <c r="L399" s="116"/>
      <c r="M399" s="116"/>
      <c r="N399" s="116"/>
      <c r="O399" s="116"/>
    </row>
    <row r="400" spans="1:19" s="350" customFormat="1" x14ac:dyDescent="0.25">
      <c r="A400" s="10" t="s">
        <v>126</v>
      </c>
      <c r="B400" s="229" t="s">
        <v>13</v>
      </c>
      <c r="C400" s="188" t="s">
        <v>209</v>
      </c>
      <c r="D400" s="90" t="s">
        <v>54</v>
      </c>
      <c r="E400" s="12">
        <f>1.1*E399</f>
        <v>209.22</v>
      </c>
      <c r="F400" s="33">
        <v>0</v>
      </c>
      <c r="G400" s="102"/>
      <c r="H400" s="113">
        <f>E400*F400</f>
        <v>0</v>
      </c>
      <c r="I400" s="15"/>
      <c r="L400" s="116"/>
      <c r="M400" s="116"/>
      <c r="N400" s="116"/>
      <c r="O400" s="116"/>
    </row>
    <row r="401" spans="1:15" s="350" customFormat="1" ht="15.75" thickBot="1" x14ac:dyDescent="0.3">
      <c r="A401" s="54" t="s">
        <v>791</v>
      </c>
      <c r="B401" s="200" t="s">
        <v>13</v>
      </c>
      <c r="C401" s="91" t="s">
        <v>266</v>
      </c>
      <c r="D401" s="92" t="s">
        <v>38</v>
      </c>
      <c r="E401" s="141">
        <f>0.7*E399</f>
        <v>133.13999999999999</v>
      </c>
      <c r="F401" s="186">
        <v>0</v>
      </c>
      <c r="G401" s="114"/>
      <c r="H401" s="120">
        <f>E401*F401</f>
        <v>0</v>
      </c>
      <c r="I401" s="127"/>
      <c r="L401" s="116"/>
      <c r="M401" s="116"/>
      <c r="N401" s="116"/>
      <c r="O401" s="116"/>
    </row>
    <row r="402" spans="1:15" s="350" customFormat="1" ht="15.75" thickBot="1" x14ac:dyDescent="0.3">
      <c r="A402" s="45"/>
      <c r="B402" s="216"/>
      <c r="C402" s="268" t="s">
        <v>417</v>
      </c>
      <c r="D402" s="3"/>
      <c r="E402" s="85"/>
      <c r="F402" s="99"/>
      <c r="G402" s="136"/>
      <c r="H402" s="121">
        <f>SUM(H378:H401)</f>
        <v>0</v>
      </c>
      <c r="I402" s="86">
        <f>SUM(I377:I401)</f>
        <v>0</v>
      </c>
      <c r="L402" s="116"/>
      <c r="M402" s="116"/>
      <c r="N402" s="116"/>
      <c r="O402" s="116"/>
    </row>
    <row r="403" spans="1:15" s="350" customFormat="1" ht="15.75" thickBot="1" x14ac:dyDescent="0.3">
      <c r="A403" s="352"/>
      <c r="B403" s="353"/>
      <c r="C403" s="354" t="s">
        <v>296</v>
      </c>
      <c r="D403" s="355"/>
      <c r="E403" s="355"/>
      <c r="F403" s="51"/>
      <c r="G403" s="51"/>
      <c r="H403" s="51"/>
      <c r="I403" s="52"/>
      <c r="L403" s="116"/>
      <c r="M403" s="116"/>
      <c r="N403" s="116"/>
      <c r="O403" s="116"/>
    </row>
    <row r="404" spans="1:15" s="350" customFormat="1" ht="28.5" x14ac:dyDescent="0.25">
      <c r="A404" s="173" t="s">
        <v>127</v>
      </c>
      <c r="B404" s="351" t="s">
        <v>9</v>
      </c>
      <c r="C404" s="250" t="s">
        <v>297</v>
      </c>
      <c r="D404" s="88" t="s">
        <v>14</v>
      </c>
      <c r="E404" s="139">
        <v>1</v>
      </c>
      <c r="F404" s="150"/>
      <c r="G404" s="146">
        <v>0</v>
      </c>
      <c r="H404" s="143"/>
      <c r="I404" s="65">
        <f>E404*G404</f>
        <v>0</v>
      </c>
      <c r="L404" s="116"/>
      <c r="M404" s="116"/>
      <c r="N404" s="116"/>
      <c r="O404" s="116"/>
    </row>
    <row r="405" spans="1:15" s="350" customFormat="1" x14ac:dyDescent="0.25">
      <c r="A405" s="112" t="s">
        <v>128</v>
      </c>
      <c r="B405" s="233" t="s">
        <v>13</v>
      </c>
      <c r="C405" s="128" t="s">
        <v>361</v>
      </c>
      <c r="D405" s="90" t="s">
        <v>14</v>
      </c>
      <c r="E405" s="125">
        <v>1</v>
      </c>
      <c r="F405" s="63">
        <v>0</v>
      </c>
      <c r="G405" s="101"/>
      <c r="H405" s="126">
        <f>E405*F405</f>
        <v>0</v>
      </c>
      <c r="I405" s="119"/>
      <c r="L405" s="116"/>
      <c r="M405" s="116"/>
      <c r="N405" s="116"/>
      <c r="O405" s="116"/>
    </row>
    <row r="406" spans="1:15" s="350" customFormat="1" x14ac:dyDescent="0.25">
      <c r="A406" s="16" t="s">
        <v>129</v>
      </c>
      <c r="B406" s="217" t="s">
        <v>9</v>
      </c>
      <c r="C406" s="21" t="s">
        <v>30</v>
      </c>
      <c r="D406" s="22" t="s">
        <v>14</v>
      </c>
      <c r="E406" s="22">
        <v>1</v>
      </c>
      <c r="F406" s="23"/>
      <c r="G406" s="118">
        <v>0</v>
      </c>
      <c r="H406" s="103"/>
      <c r="I406" s="24">
        <f>E406*G406</f>
        <v>0</v>
      </c>
      <c r="L406" s="116"/>
      <c r="M406" s="116"/>
      <c r="N406" s="116"/>
      <c r="O406" s="116"/>
    </row>
    <row r="407" spans="1:15" s="350" customFormat="1" ht="30" x14ac:dyDescent="0.25">
      <c r="A407" s="10" t="s">
        <v>130</v>
      </c>
      <c r="B407" s="218" t="s">
        <v>13</v>
      </c>
      <c r="C407" s="128" t="s">
        <v>578</v>
      </c>
      <c r="D407" s="25" t="s">
        <v>14</v>
      </c>
      <c r="E407" s="25">
        <v>1</v>
      </c>
      <c r="F407" s="147">
        <v>0</v>
      </c>
      <c r="G407" s="369"/>
      <c r="H407" s="148">
        <f>E407*F407</f>
        <v>0</v>
      </c>
      <c r="I407" s="15"/>
      <c r="L407" s="116"/>
      <c r="M407" s="116"/>
      <c r="N407" s="116"/>
      <c r="O407" s="116"/>
    </row>
    <row r="408" spans="1:15" s="350" customFormat="1" ht="28.5" x14ac:dyDescent="0.25">
      <c r="A408" s="16" t="s">
        <v>810</v>
      </c>
      <c r="B408" s="306" t="s">
        <v>9</v>
      </c>
      <c r="C408" s="74" t="s">
        <v>803</v>
      </c>
      <c r="D408" s="307" t="s">
        <v>472</v>
      </c>
      <c r="E408" s="307">
        <v>5</v>
      </c>
      <c r="F408" s="308"/>
      <c r="G408" s="375">
        <v>0</v>
      </c>
      <c r="H408" s="309"/>
      <c r="I408" s="58">
        <f>E408*G408</f>
        <v>0</v>
      </c>
      <c r="L408" s="116"/>
      <c r="M408" s="116"/>
      <c r="N408" s="116"/>
      <c r="O408" s="116"/>
    </row>
    <row r="409" spans="1:15" s="350" customFormat="1" ht="42.75" x14ac:dyDescent="0.25">
      <c r="A409" s="16" t="s">
        <v>793</v>
      </c>
      <c r="B409" s="215" t="s">
        <v>9</v>
      </c>
      <c r="C409" s="17" t="s">
        <v>285</v>
      </c>
      <c r="D409" s="18" t="s">
        <v>54</v>
      </c>
      <c r="E409" s="18">
        <f>159.04+2.02+0.66+20*1.08+0.54+6*1.26</f>
        <v>191.42</v>
      </c>
      <c r="F409" s="13"/>
      <c r="G409" s="117">
        <v>0</v>
      </c>
      <c r="H409" s="103"/>
      <c r="I409" s="58">
        <f>E409*G409</f>
        <v>0</v>
      </c>
      <c r="L409" s="116"/>
      <c r="M409" s="116"/>
      <c r="N409" s="116"/>
      <c r="O409" s="116"/>
    </row>
    <row r="410" spans="1:15" s="350" customFormat="1" x14ac:dyDescent="0.25">
      <c r="A410" s="10" t="s">
        <v>131</v>
      </c>
      <c r="B410" s="211" t="s">
        <v>13</v>
      </c>
      <c r="C410" s="11" t="s">
        <v>165</v>
      </c>
      <c r="D410" s="12" t="s">
        <v>38</v>
      </c>
      <c r="E410" s="78">
        <f>2.25*E409</f>
        <v>430.7</v>
      </c>
      <c r="F410" s="14">
        <v>0</v>
      </c>
      <c r="G410" s="102"/>
      <c r="H410" s="113">
        <f t="shared" ref="H410:H416" si="36">E410*F410</f>
        <v>0</v>
      </c>
      <c r="I410" s="15"/>
      <c r="L410" s="116"/>
      <c r="M410" s="116"/>
      <c r="N410" s="116"/>
      <c r="O410" s="116"/>
    </row>
    <row r="411" spans="1:15" s="350" customFormat="1" ht="30" x14ac:dyDescent="0.25">
      <c r="A411" s="10" t="s">
        <v>132</v>
      </c>
      <c r="B411" s="211" t="s">
        <v>13</v>
      </c>
      <c r="C411" s="11" t="s">
        <v>579</v>
      </c>
      <c r="D411" s="12" t="s">
        <v>58</v>
      </c>
      <c r="E411" s="12">
        <v>56.8</v>
      </c>
      <c r="F411" s="14">
        <v>0</v>
      </c>
      <c r="G411" s="102"/>
      <c r="H411" s="113">
        <f t="shared" si="36"/>
        <v>0</v>
      </c>
      <c r="I411" s="15"/>
      <c r="L411" s="116"/>
      <c r="M411" s="116"/>
      <c r="N411" s="116"/>
      <c r="O411" s="116"/>
    </row>
    <row r="412" spans="1:15" s="350" customFormat="1" ht="30" x14ac:dyDescent="0.25">
      <c r="A412" s="10" t="s">
        <v>794</v>
      </c>
      <c r="B412" s="220" t="s">
        <v>13</v>
      </c>
      <c r="C412" s="30" t="s">
        <v>581</v>
      </c>
      <c r="D412" s="31" t="s">
        <v>58</v>
      </c>
      <c r="E412" s="32">
        <v>0.8</v>
      </c>
      <c r="F412" s="33">
        <v>0</v>
      </c>
      <c r="G412" s="102"/>
      <c r="H412" s="113">
        <f t="shared" si="36"/>
        <v>0</v>
      </c>
      <c r="I412" s="15"/>
      <c r="L412" s="116"/>
      <c r="M412" s="116"/>
      <c r="N412" s="116"/>
      <c r="O412" s="116"/>
    </row>
    <row r="413" spans="1:15" s="350" customFormat="1" x14ac:dyDescent="0.25">
      <c r="A413" s="10" t="s">
        <v>795</v>
      </c>
      <c r="B413" s="220" t="s">
        <v>13</v>
      </c>
      <c r="C413" s="30" t="s">
        <v>580</v>
      </c>
      <c r="D413" s="31" t="s">
        <v>14</v>
      </c>
      <c r="E413" s="32">
        <v>1</v>
      </c>
      <c r="F413" s="33">
        <v>0</v>
      </c>
      <c r="G413" s="102"/>
      <c r="H413" s="113">
        <f t="shared" si="36"/>
        <v>0</v>
      </c>
      <c r="I413" s="15"/>
      <c r="L413" s="116"/>
      <c r="M413" s="116"/>
      <c r="N413" s="116"/>
      <c r="O413" s="116"/>
    </row>
    <row r="414" spans="1:15" s="350" customFormat="1" x14ac:dyDescent="0.25">
      <c r="A414" s="10" t="s">
        <v>796</v>
      </c>
      <c r="B414" s="220" t="s">
        <v>13</v>
      </c>
      <c r="C414" s="30" t="s">
        <v>299</v>
      </c>
      <c r="D414" s="31" t="s">
        <v>14</v>
      </c>
      <c r="E414" s="32">
        <v>20</v>
      </c>
      <c r="F414" s="33">
        <v>0</v>
      </c>
      <c r="G414" s="102"/>
      <c r="H414" s="113">
        <f t="shared" si="36"/>
        <v>0</v>
      </c>
      <c r="I414" s="15"/>
      <c r="L414" s="116"/>
      <c r="M414" s="116"/>
      <c r="N414" s="116"/>
      <c r="O414" s="116"/>
    </row>
    <row r="415" spans="1:15" s="350" customFormat="1" x14ac:dyDescent="0.25">
      <c r="A415" s="10" t="s">
        <v>811</v>
      </c>
      <c r="B415" s="220" t="s">
        <v>13</v>
      </c>
      <c r="C415" s="30" t="s">
        <v>365</v>
      </c>
      <c r="D415" s="31" t="s">
        <v>14</v>
      </c>
      <c r="E415" s="32">
        <v>1</v>
      </c>
      <c r="F415" s="33">
        <v>0</v>
      </c>
      <c r="G415" s="102"/>
      <c r="H415" s="113">
        <f t="shared" si="36"/>
        <v>0</v>
      </c>
      <c r="I415" s="15"/>
      <c r="L415" s="116"/>
      <c r="M415" s="116"/>
      <c r="N415" s="116"/>
      <c r="O415" s="116"/>
    </row>
    <row r="416" spans="1:15" s="350" customFormat="1" ht="30" x14ac:dyDescent="0.25">
      <c r="A416" s="10" t="s">
        <v>812</v>
      </c>
      <c r="B416" s="220" t="s">
        <v>13</v>
      </c>
      <c r="C416" s="30" t="s">
        <v>366</v>
      </c>
      <c r="D416" s="31" t="s">
        <v>14</v>
      </c>
      <c r="E416" s="32">
        <v>6</v>
      </c>
      <c r="F416" s="33">
        <v>0</v>
      </c>
      <c r="G416" s="102"/>
      <c r="H416" s="113">
        <f t="shared" si="36"/>
        <v>0</v>
      </c>
      <c r="I416" s="15"/>
      <c r="L416" s="116"/>
      <c r="M416" s="116"/>
      <c r="N416" s="116"/>
      <c r="O416" s="116"/>
    </row>
    <row r="417" spans="1:19" s="350" customFormat="1" ht="28.5" x14ac:dyDescent="0.25">
      <c r="A417" s="18">
        <v>32</v>
      </c>
      <c r="B417" s="221" t="s">
        <v>9</v>
      </c>
      <c r="C417" s="17" t="s">
        <v>52</v>
      </c>
      <c r="D417" s="19" t="s">
        <v>14</v>
      </c>
      <c r="E417" s="18">
        <v>20</v>
      </c>
      <c r="F417" s="28"/>
      <c r="G417" s="117">
        <v>0</v>
      </c>
      <c r="H417" s="103"/>
      <c r="I417" s="58">
        <f>E417*G417</f>
        <v>0</v>
      </c>
      <c r="L417" s="116"/>
      <c r="M417" s="116"/>
      <c r="N417" s="116"/>
      <c r="O417" s="116"/>
    </row>
    <row r="418" spans="1:19" s="350" customFormat="1" ht="45" x14ac:dyDescent="0.25">
      <c r="A418" s="29" t="s">
        <v>133</v>
      </c>
      <c r="B418" s="220" t="s">
        <v>13</v>
      </c>
      <c r="C418" s="30" t="s">
        <v>459</v>
      </c>
      <c r="D418" s="31" t="s">
        <v>14</v>
      </c>
      <c r="E418" s="32">
        <v>20</v>
      </c>
      <c r="F418" s="33">
        <v>0</v>
      </c>
      <c r="G418" s="102"/>
      <c r="H418" s="113">
        <f>E418*F418</f>
        <v>0</v>
      </c>
      <c r="I418" s="15"/>
      <c r="L418" s="116"/>
      <c r="M418" s="116"/>
      <c r="N418" s="116"/>
      <c r="O418" s="116"/>
    </row>
    <row r="419" spans="1:19" s="350" customFormat="1" ht="28.5" x14ac:dyDescent="0.25">
      <c r="A419" s="173" t="s">
        <v>134</v>
      </c>
      <c r="B419" s="234" t="s">
        <v>9</v>
      </c>
      <c r="C419" s="17" t="s">
        <v>211</v>
      </c>
      <c r="D419" s="19" t="s">
        <v>54</v>
      </c>
      <c r="E419" s="18">
        <v>172.1</v>
      </c>
      <c r="F419" s="28"/>
      <c r="G419" s="117">
        <v>0</v>
      </c>
      <c r="H419" s="103"/>
      <c r="I419" s="58">
        <f>E419*G419</f>
        <v>0</v>
      </c>
      <c r="L419" s="116"/>
      <c r="M419" s="116"/>
      <c r="N419" s="116"/>
      <c r="O419" s="116"/>
    </row>
    <row r="420" spans="1:19" s="350" customFormat="1" x14ac:dyDescent="0.25">
      <c r="A420" s="29" t="s">
        <v>135</v>
      </c>
      <c r="B420" s="220" t="s">
        <v>13</v>
      </c>
      <c r="C420" s="188" t="s">
        <v>209</v>
      </c>
      <c r="D420" s="90" t="s">
        <v>54</v>
      </c>
      <c r="E420" s="12">
        <f>1.1*E419</f>
        <v>189.31</v>
      </c>
      <c r="F420" s="33">
        <v>0</v>
      </c>
      <c r="G420" s="102"/>
      <c r="H420" s="113">
        <f>E420*F420</f>
        <v>0</v>
      </c>
      <c r="I420" s="15"/>
      <c r="L420" s="116"/>
      <c r="M420" s="116"/>
      <c r="N420" s="116"/>
      <c r="O420" s="116"/>
    </row>
    <row r="421" spans="1:19" s="350" customFormat="1" ht="15.75" thickBot="1" x14ac:dyDescent="0.3">
      <c r="A421" s="29" t="s">
        <v>136</v>
      </c>
      <c r="B421" s="220" t="s">
        <v>13</v>
      </c>
      <c r="C421" s="91" t="s">
        <v>266</v>
      </c>
      <c r="D421" s="92" t="s">
        <v>38</v>
      </c>
      <c r="E421" s="141">
        <f>0.7*E419</f>
        <v>120.47</v>
      </c>
      <c r="F421" s="186">
        <v>0</v>
      </c>
      <c r="G421" s="114"/>
      <c r="H421" s="120">
        <f>E421*F421</f>
        <v>0</v>
      </c>
      <c r="I421" s="127"/>
      <c r="L421" s="116"/>
      <c r="M421" s="116"/>
      <c r="N421" s="116"/>
      <c r="O421" s="116"/>
    </row>
    <row r="422" spans="1:19" s="350" customFormat="1" ht="15.75" thickBot="1" x14ac:dyDescent="0.3">
      <c r="A422" s="83"/>
      <c r="B422" s="216"/>
      <c r="C422" s="268" t="s">
        <v>44</v>
      </c>
      <c r="D422" s="48"/>
      <c r="E422" s="49"/>
      <c r="F422" s="50"/>
      <c r="G422" s="51"/>
      <c r="H422" s="50">
        <f>SUM(H405:H421)</f>
        <v>0</v>
      </c>
      <c r="I422" s="86">
        <f>SUM(I404:I421)</f>
        <v>0</v>
      </c>
      <c r="L422" s="116"/>
      <c r="M422" s="116"/>
      <c r="N422" s="116"/>
      <c r="O422" s="116"/>
    </row>
    <row r="423" spans="1:19" ht="15.75" thickBot="1" x14ac:dyDescent="0.3">
      <c r="A423" s="352"/>
      <c r="B423" s="353"/>
      <c r="C423" s="354" t="s">
        <v>582</v>
      </c>
      <c r="D423" s="355"/>
      <c r="E423" s="355"/>
      <c r="F423" s="51"/>
      <c r="G423" s="51"/>
      <c r="H423" s="51"/>
      <c r="I423" s="52"/>
      <c r="J423" s="1"/>
      <c r="K423" s="1"/>
      <c r="P423" s="1"/>
      <c r="Q423" s="1"/>
      <c r="R423" s="1"/>
      <c r="S423" s="1"/>
    </row>
    <row r="424" spans="1:19" ht="31.5" customHeight="1" x14ac:dyDescent="0.25">
      <c r="A424" s="173" t="s">
        <v>813</v>
      </c>
      <c r="B424" s="351" t="s">
        <v>9</v>
      </c>
      <c r="C424" s="250" t="s">
        <v>297</v>
      </c>
      <c r="D424" s="88" t="s">
        <v>14</v>
      </c>
      <c r="E424" s="139">
        <v>1</v>
      </c>
      <c r="F424" s="150"/>
      <c r="G424" s="146">
        <v>0</v>
      </c>
      <c r="H424" s="143"/>
      <c r="I424" s="65">
        <f>E424*G424</f>
        <v>0</v>
      </c>
      <c r="J424" s="1"/>
      <c r="K424" s="1"/>
      <c r="P424" s="1"/>
      <c r="Q424" s="1"/>
      <c r="R424" s="1"/>
      <c r="S424" s="1"/>
    </row>
    <row r="425" spans="1:19" x14ac:dyDescent="0.25">
      <c r="A425" s="112" t="s">
        <v>814</v>
      </c>
      <c r="B425" s="233" t="s">
        <v>13</v>
      </c>
      <c r="C425" s="128" t="s">
        <v>361</v>
      </c>
      <c r="D425" s="90" t="s">
        <v>14</v>
      </c>
      <c r="E425" s="125">
        <v>1</v>
      </c>
      <c r="F425" s="63">
        <v>0</v>
      </c>
      <c r="G425" s="101"/>
      <c r="H425" s="126">
        <f>E425*F425</f>
        <v>0</v>
      </c>
      <c r="I425" s="119"/>
      <c r="J425" s="1"/>
      <c r="K425" s="1"/>
      <c r="P425" s="1"/>
      <c r="Q425" s="1"/>
      <c r="R425" s="1"/>
      <c r="S425" s="1"/>
    </row>
    <row r="426" spans="1:19" x14ac:dyDescent="0.25">
      <c r="A426" s="16" t="s">
        <v>815</v>
      </c>
      <c r="B426" s="217" t="s">
        <v>9</v>
      </c>
      <c r="C426" s="21" t="s">
        <v>30</v>
      </c>
      <c r="D426" s="22" t="s">
        <v>14</v>
      </c>
      <c r="E426" s="22">
        <v>1</v>
      </c>
      <c r="F426" s="23"/>
      <c r="G426" s="118">
        <v>0</v>
      </c>
      <c r="H426" s="103"/>
      <c r="I426" s="24">
        <f>E426*G426</f>
        <v>0</v>
      </c>
      <c r="J426" s="1"/>
      <c r="K426" s="1"/>
      <c r="P426" s="1"/>
      <c r="Q426" s="1"/>
      <c r="R426" s="1"/>
      <c r="S426" s="1"/>
    </row>
    <row r="427" spans="1:19" ht="30" x14ac:dyDescent="0.25">
      <c r="A427" s="10" t="s">
        <v>816</v>
      </c>
      <c r="B427" s="218" t="s">
        <v>13</v>
      </c>
      <c r="C427" s="128" t="s">
        <v>578</v>
      </c>
      <c r="D427" s="25" t="s">
        <v>14</v>
      </c>
      <c r="E427" s="25">
        <v>1</v>
      </c>
      <c r="F427" s="147">
        <v>0</v>
      </c>
      <c r="G427" s="369"/>
      <c r="H427" s="148">
        <f>E427*F427</f>
        <v>0</v>
      </c>
      <c r="I427" s="15"/>
      <c r="J427" s="1"/>
      <c r="K427" s="1"/>
      <c r="P427" s="1"/>
      <c r="Q427" s="1"/>
      <c r="R427" s="1"/>
      <c r="S427" s="1"/>
    </row>
    <row r="428" spans="1:19" ht="28.5" x14ac:dyDescent="0.25">
      <c r="A428" s="16" t="s">
        <v>817</v>
      </c>
      <c r="B428" s="306" t="s">
        <v>9</v>
      </c>
      <c r="C428" s="74" t="s">
        <v>803</v>
      </c>
      <c r="D428" s="307" t="s">
        <v>472</v>
      </c>
      <c r="E428" s="307">
        <v>5</v>
      </c>
      <c r="F428" s="308"/>
      <c r="G428" s="375">
        <v>0</v>
      </c>
      <c r="H428" s="309"/>
      <c r="I428" s="58">
        <f>E428*G428</f>
        <v>0</v>
      </c>
      <c r="J428" s="1"/>
      <c r="K428" s="1"/>
      <c r="P428" s="1"/>
      <c r="Q428" s="1"/>
      <c r="R428" s="1"/>
      <c r="S428" s="1"/>
    </row>
    <row r="429" spans="1:19" ht="42.75" x14ac:dyDescent="0.25">
      <c r="A429" s="16" t="s">
        <v>818</v>
      </c>
      <c r="B429" s="215" t="s">
        <v>9</v>
      </c>
      <c r="C429" s="17" t="s">
        <v>285</v>
      </c>
      <c r="D429" s="18" t="s">
        <v>54</v>
      </c>
      <c r="E429" s="18">
        <f>161.56+2.02+0.66+20*1.08+0.54+6*1.26</f>
        <v>193.94</v>
      </c>
      <c r="F429" s="13"/>
      <c r="G429" s="117">
        <v>0</v>
      </c>
      <c r="H429" s="103"/>
      <c r="I429" s="58">
        <f>E429*G429</f>
        <v>0</v>
      </c>
      <c r="J429" s="1"/>
      <c r="K429" s="1"/>
      <c r="P429" s="1"/>
      <c r="Q429" s="1"/>
      <c r="R429" s="1"/>
      <c r="S429" s="1"/>
    </row>
    <row r="430" spans="1:19" x14ac:dyDescent="0.25">
      <c r="A430" s="10" t="s">
        <v>819</v>
      </c>
      <c r="B430" s="211" t="s">
        <v>13</v>
      </c>
      <c r="C430" s="11" t="s">
        <v>165</v>
      </c>
      <c r="D430" s="12" t="s">
        <v>38</v>
      </c>
      <c r="E430" s="78">
        <f>2.25*E429</f>
        <v>436.37</v>
      </c>
      <c r="F430" s="14">
        <v>0</v>
      </c>
      <c r="G430" s="102"/>
      <c r="H430" s="113">
        <f t="shared" ref="H430:H436" si="37">E430*F430</f>
        <v>0</v>
      </c>
      <c r="I430" s="15"/>
      <c r="J430" s="1"/>
      <c r="K430" s="1"/>
      <c r="P430" s="1"/>
      <c r="Q430" s="1"/>
      <c r="R430" s="1"/>
      <c r="S430" s="1"/>
    </row>
    <row r="431" spans="1:19" ht="30" x14ac:dyDescent="0.25">
      <c r="A431" s="10" t="s">
        <v>820</v>
      </c>
      <c r="B431" s="211" t="s">
        <v>13</v>
      </c>
      <c r="C431" s="11" t="s">
        <v>579</v>
      </c>
      <c r="D431" s="12" t="s">
        <v>58</v>
      </c>
      <c r="E431" s="12">
        <v>57.7</v>
      </c>
      <c r="F431" s="14">
        <v>0</v>
      </c>
      <c r="G431" s="102"/>
      <c r="H431" s="113">
        <f t="shared" si="37"/>
        <v>0</v>
      </c>
      <c r="I431" s="15"/>
      <c r="J431" s="1"/>
      <c r="K431" s="1">
        <v>161.56</v>
      </c>
      <c r="L431" s="115" t="s">
        <v>54</v>
      </c>
      <c r="P431" s="1"/>
      <c r="Q431" s="1"/>
      <c r="R431" s="1"/>
      <c r="S431" s="1"/>
    </row>
    <row r="432" spans="1:19" ht="30" x14ac:dyDescent="0.25">
      <c r="A432" s="10" t="s">
        <v>821</v>
      </c>
      <c r="B432" s="220" t="s">
        <v>13</v>
      </c>
      <c r="C432" s="30" t="s">
        <v>581</v>
      </c>
      <c r="D432" s="31" t="s">
        <v>58</v>
      </c>
      <c r="E432" s="32">
        <v>0.8</v>
      </c>
      <c r="F432" s="33">
        <v>0</v>
      </c>
      <c r="G432" s="102"/>
      <c r="H432" s="113">
        <f t="shared" si="37"/>
        <v>0</v>
      </c>
      <c r="I432" s="15"/>
      <c r="J432" s="1"/>
      <c r="K432" s="1">
        <v>2.02</v>
      </c>
      <c r="P432" s="1"/>
      <c r="Q432" s="1"/>
      <c r="R432" s="1"/>
      <c r="S432" s="1"/>
    </row>
    <row r="433" spans="1:19" x14ac:dyDescent="0.25">
      <c r="A433" s="10" t="s">
        <v>822</v>
      </c>
      <c r="B433" s="220" t="s">
        <v>13</v>
      </c>
      <c r="C433" s="30" t="s">
        <v>580</v>
      </c>
      <c r="D433" s="31" t="s">
        <v>14</v>
      </c>
      <c r="E433" s="32">
        <v>1</v>
      </c>
      <c r="F433" s="33">
        <v>0</v>
      </c>
      <c r="G433" s="102"/>
      <c r="H433" s="113">
        <f t="shared" si="37"/>
        <v>0</v>
      </c>
      <c r="I433" s="15"/>
      <c r="J433" s="1"/>
      <c r="K433" s="1">
        <v>0.66</v>
      </c>
      <c r="P433" s="1"/>
      <c r="Q433" s="1"/>
      <c r="R433" s="1"/>
      <c r="S433" s="1"/>
    </row>
    <row r="434" spans="1:19" x14ac:dyDescent="0.25">
      <c r="A434" s="10" t="s">
        <v>823</v>
      </c>
      <c r="B434" s="220" t="s">
        <v>13</v>
      </c>
      <c r="C434" s="30" t="s">
        <v>299</v>
      </c>
      <c r="D434" s="31" t="s">
        <v>14</v>
      </c>
      <c r="E434" s="32">
        <v>20</v>
      </c>
      <c r="F434" s="33">
        <v>0</v>
      </c>
      <c r="G434" s="102"/>
      <c r="H434" s="113">
        <f t="shared" si="37"/>
        <v>0</v>
      </c>
      <c r="I434" s="15"/>
      <c r="J434" s="1"/>
      <c r="K434" s="1">
        <v>1.08</v>
      </c>
      <c r="P434" s="1"/>
      <c r="Q434" s="1"/>
      <c r="R434" s="1"/>
      <c r="S434" s="1"/>
    </row>
    <row r="435" spans="1:19" x14ac:dyDescent="0.25">
      <c r="A435" s="10" t="s">
        <v>824</v>
      </c>
      <c r="B435" s="220" t="s">
        <v>13</v>
      </c>
      <c r="C435" s="30" t="s">
        <v>365</v>
      </c>
      <c r="D435" s="31" t="s">
        <v>14</v>
      </c>
      <c r="E435" s="32">
        <v>1</v>
      </c>
      <c r="F435" s="33">
        <v>0</v>
      </c>
      <c r="G435" s="102"/>
      <c r="H435" s="113">
        <f t="shared" si="37"/>
        <v>0</v>
      </c>
      <c r="I435" s="15"/>
      <c r="J435" s="1"/>
      <c r="K435" s="1">
        <v>0.54</v>
      </c>
      <c r="P435" s="1"/>
      <c r="Q435" s="1"/>
      <c r="R435" s="1"/>
      <c r="S435" s="1"/>
    </row>
    <row r="436" spans="1:19" ht="30" x14ac:dyDescent="0.25">
      <c r="A436" s="10" t="s">
        <v>825</v>
      </c>
      <c r="B436" s="220" t="s">
        <v>13</v>
      </c>
      <c r="C436" s="30" t="s">
        <v>366</v>
      </c>
      <c r="D436" s="31" t="s">
        <v>14</v>
      </c>
      <c r="E436" s="32">
        <v>6</v>
      </c>
      <c r="F436" s="33">
        <v>0</v>
      </c>
      <c r="G436" s="102"/>
      <c r="H436" s="113">
        <f t="shared" si="37"/>
        <v>0</v>
      </c>
      <c r="I436" s="15"/>
      <c r="J436" s="1"/>
      <c r="K436" s="1">
        <v>1.26</v>
      </c>
      <c r="P436" s="1"/>
      <c r="Q436" s="1"/>
      <c r="R436" s="1"/>
      <c r="S436" s="1"/>
    </row>
    <row r="437" spans="1:19" ht="27" customHeight="1" x14ac:dyDescent="0.25">
      <c r="A437" s="18">
        <v>37</v>
      </c>
      <c r="B437" s="221" t="s">
        <v>9</v>
      </c>
      <c r="C437" s="17" t="s">
        <v>52</v>
      </c>
      <c r="D437" s="19" t="s">
        <v>14</v>
      </c>
      <c r="E437" s="18">
        <v>20</v>
      </c>
      <c r="F437" s="28"/>
      <c r="G437" s="117">
        <v>0</v>
      </c>
      <c r="H437" s="103"/>
      <c r="I437" s="58">
        <f>E437*G437</f>
        <v>0</v>
      </c>
      <c r="J437" s="1"/>
      <c r="K437" s="1"/>
      <c r="P437" s="1"/>
      <c r="Q437" s="1"/>
      <c r="R437" s="1"/>
      <c r="S437" s="1"/>
    </row>
    <row r="438" spans="1:19" ht="45" x14ac:dyDescent="0.25">
      <c r="A438" s="29" t="s">
        <v>826</v>
      </c>
      <c r="B438" s="220" t="s">
        <v>13</v>
      </c>
      <c r="C438" s="30" t="s">
        <v>459</v>
      </c>
      <c r="D438" s="31" t="s">
        <v>14</v>
      </c>
      <c r="E438" s="32">
        <v>20</v>
      </c>
      <c r="F438" s="33">
        <v>0</v>
      </c>
      <c r="G438" s="102"/>
      <c r="H438" s="113">
        <f>E438*F438</f>
        <v>0</v>
      </c>
      <c r="I438" s="15"/>
      <c r="J438" s="1"/>
      <c r="K438" s="1"/>
      <c r="P438" s="1"/>
      <c r="Q438" s="1"/>
      <c r="R438" s="1"/>
      <c r="S438" s="1"/>
    </row>
    <row r="439" spans="1:19" ht="28.5" x14ac:dyDescent="0.25">
      <c r="A439" s="173" t="s">
        <v>827</v>
      </c>
      <c r="B439" s="234" t="s">
        <v>9</v>
      </c>
      <c r="C439" s="17" t="s">
        <v>211</v>
      </c>
      <c r="D439" s="19" t="s">
        <v>54</v>
      </c>
      <c r="E439" s="18">
        <v>174.9</v>
      </c>
      <c r="F439" s="28"/>
      <c r="G439" s="117">
        <v>0</v>
      </c>
      <c r="H439" s="103"/>
      <c r="I439" s="58">
        <f>E439*G439</f>
        <v>0</v>
      </c>
      <c r="J439" s="1"/>
      <c r="K439" s="1"/>
      <c r="P439" s="1"/>
      <c r="Q439" s="1"/>
      <c r="R439" s="1"/>
      <c r="S439" s="1"/>
    </row>
    <row r="440" spans="1:19" x14ac:dyDescent="0.25">
      <c r="A440" s="29" t="s">
        <v>828</v>
      </c>
      <c r="B440" s="220" t="s">
        <v>13</v>
      </c>
      <c r="C440" s="188" t="s">
        <v>209</v>
      </c>
      <c r="D440" s="90" t="s">
        <v>54</v>
      </c>
      <c r="E440" s="12">
        <f>1.1*E439</f>
        <v>192.39</v>
      </c>
      <c r="F440" s="33">
        <v>0</v>
      </c>
      <c r="G440" s="102"/>
      <c r="H440" s="113">
        <f>E440*F440</f>
        <v>0</v>
      </c>
      <c r="I440" s="15"/>
      <c r="J440" s="1"/>
      <c r="K440" s="1"/>
      <c r="P440" s="1"/>
      <c r="Q440" s="1"/>
      <c r="R440" s="1"/>
      <c r="S440" s="1"/>
    </row>
    <row r="441" spans="1:19" ht="15.75" thickBot="1" x14ac:dyDescent="0.3">
      <c r="A441" s="29" t="s">
        <v>829</v>
      </c>
      <c r="B441" s="220" t="s">
        <v>13</v>
      </c>
      <c r="C441" s="91" t="s">
        <v>266</v>
      </c>
      <c r="D441" s="92" t="s">
        <v>38</v>
      </c>
      <c r="E441" s="141">
        <f>0.7*E439</f>
        <v>122.43</v>
      </c>
      <c r="F441" s="186">
        <v>0</v>
      </c>
      <c r="G441" s="114"/>
      <c r="H441" s="120">
        <f>E441*F441</f>
        <v>0</v>
      </c>
      <c r="I441" s="127"/>
      <c r="J441" s="1"/>
      <c r="K441" s="1"/>
      <c r="P441" s="1"/>
      <c r="Q441" s="1"/>
      <c r="R441" s="1"/>
      <c r="S441" s="1"/>
    </row>
    <row r="442" spans="1:19" ht="15.75" thickBot="1" x14ac:dyDescent="0.3">
      <c r="A442" s="83"/>
      <c r="B442" s="216"/>
      <c r="C442" s="268" t="s">
        <v>44</v>
      </c>
      <c r="D442" s="48"/>
      <c r="E442" s="49"/>
      <c r="F442" s="121"/>
      <c r="G442" s="52"/>
      <c r="H442" s="99">
        <f>SUM(H425:H441)</f>
        <v>0</v>
      </c>
      <c r="I442" s="86">
        <f>SUM(I424:I441)</f>
        <v>0</v>
      </c>
      <c r="J442" s="1"/>
      <c r="K442" s="1"/>
      <c r="P442" s="1"/>
      <c r="Q442" s="1"/>
      <c r="R442" s="1"/>
      <c r="S442" s="1"/>
    </row>
    <row r="443" spans="1:19" x14ac:dyDescent="0.25">
      <c r="A443" s="130"/>
      <c r="B443" s="261"/>
      <c r="C443" s="285" t="s">
        <v>423</v>
      </c>
      <c r="D443" s="92"/>
      <c r="E443" s="158"/>
      <c r="F443" s="193"/>
      <c r="G443" s="162"/>
      <c r="H443" s="192">
        <f>H284+H304+H323+H348+H375+H402+H422+H442</f>
        <v>0</v>
      </c>
      <c r="I443" s="282">
        <f>I284+I304+I323+I348+I375+I402+I422+I442</f>
        <v>0</v>
      </c>
      <c r="J443" s="1"/>
      <c r="K443" s="1"/>
      <c r="P443" s="1"/>
      <c r="Q443" s="1"/>
      <c r="R443" s="1"/>
      <c r="S443" s="1"/>
    </row>
    <row r="444" spans="1:19" ht="15.75" thickBot="1" x14ac:dyDescent="0.3">
      <c r="A444" s="34"/>
      <c r="B444" s="202"/>
      <c r="C444" s="43" t="s">
        <v>425</v>
      </c>
      <c r="D444" s="35"/>
      <c r="E444" s="36"/>
      <c r="F444" s="108"/>
      <c r="G444" s="44"/>
      <c r="H444" s="365"/>
      <c r="I444" s="82">
        <f>H443+I443</f>
        <v>0</v>
      </c>
      <c r="J444" s="1"/>
      <c r="K444" s="1"/>
      <c r="P444" s="1"/>
      <c r="Q444" s="1"/>
      <c r="R444" s="1"/>
      <c r="S444" s="1"/>
    </row>
    <row r="445" spans="1:19" ht="15.75" thickBot="1" x14ac:dyDescent="0.3">
      <c r="A445" s="83"/>
      <c r="B445" s="216"/>
      <c r="C445" s="254" t="s">
        <v>583</v>
      </c>
      <c r="D445" s="48"/>
      <c r="E445" s="49"/>
      <c r="F445" s="99"/>
      <c r="G445" s="109"/>
      <c r="H445" s="99"/>
      <c r="I445" s="86">
        <f>I198+I265+I444</f>
        <v>0</v>
      </c>
      <c r="J445" s="1"/>
      <c r="K445" s="1"/>
      <c r="P445" s="1"/>
      <c r="Q445" s="1"/>
      <c r="R445" s="1"/>
      <c r="S445" s="1"/>
    </row>
    <row r="446" spans="1:19" ht="16.5" thickBot="1" x14ac:dyDescent="0.3">
      <c r="A446" s="157"/>
      <c r="B446" s="236"/>
      <c r="C446" s="286" t="s">
        <v>302</v>
      </c>
      <c r="D446" s="158"/>
      <c r="E446" s="158"/>
      <c r="F446" s="159"/>
      <c r="G446" s="160"/>
      <c r="H446" s="161"/>
      <c r="I446" s="162"/>
      <c r="J446" s="1"/>
      <c r="K446" s="1"/>
      <c r="P446" s="1"/>
      <c r="Q446" s="1"/>
      <c r="R446" s="1"/>
      <c r="S446" s="1"/>
    </row>
    <row r="447" spans="1:19" ht="15.75" thickBot="1" x14ac:dyDescent="0.3">
      <c r="A447" s="140"/>
      <c r="B447" s="163" t="s">
        <v>427</v>
      </c>
      <c r="C447" s="156" t="s">
        <v>426</v>
      </c>
      <c r="D447" s="49"/>
      <c r="E447" s="49"/>
      <c r="F447" s="132"/>
      <c r="G447" s="109"/>
      <c r="H447" s="144"/>
      <c r="I447" s="52"/>
      <c r="J447" s="1"/>
      <c r="K447" s="1"/>
      <c r="P447" s="1"/>
      <c r="Q447" s="1"/>
      <c r="R447" s="1"/>
      <c r="S447" s="1"/>
    </row>
    <row r="448" spans="1:19" x14ac:dyDescent="0.25">
      <c r="A448" s="173" t="s">
        <v>46</v>
      </c>
      <c r="B448" s="201" t="s">
        <v>9</v>
      </c>
      <c r="C448" s="196" t="s">
        <v>212</v>
      </c>
      <c r="D448" s="56" t="s">
        <v>14</v>
      </c>
      <c r="E448" s="57">
        <v>790</v>
      </c>
      <c r="F448" s="150"/>
      <c r="G448" s="101">
        <v>0</v>
      </c>
      <c r="H448" s="143"/>
      <c r="I448" s="119">
        <f>E448*G448</f>
        <v>0</v>
      </c>
      <c r="J448" s="1"/>
      <c r="K448" s="1"/>
      <c r="P448" s="1"/>
      <c r="Q448" s="1"/>
      <c r="R448" s="1"/>
      <c r="S448" s="1"/>
    </row>
    <row r="449" spans="1:19" ht="15.75" thickBot="1" x14ac:dyDescent="0.3">
      <c r="A449" s="34" t="s">
        <v>12</v>
      </c>
      <c r="B449" s="202" t="s">
        <v>13</v>
      </c>
      <c r="C449" s="123" t="s">
        <v>213</v>
      </c>
      <c r="D449" s="59" t="s">
        <v>14</v>
      </c>
      <c r="E449" s="60">
        <v>790</v>
      </c>
      <c r="F449" s="61">
        <v>0</v>
      </c>
      <c r="G449" s="107"/>
      <c r="H449" s="111">
        <f>E449*F449</f>
        <v>0</v>
      </c>
      <c r="I449" s="44"/>
      <c r="J449" s="1"/>
      <c r="K449" s="1"/>
      <c r="P449" s="1"/>
      <c r="Q449" s="1"/>
      <c r="R449" s="1"/>
      <c r="S449" s="1"/>
    </row>
    <row r="450" spans="1:19" ht="15.75" thickBot="1" x14ac:dyDescent="0.3">
      <c r="A450" s="39"/>
      <c r="B450" s="238"/>
      <c r="C450" s="5" t="s">
        <v>44</v>
      </c>
      <c r="D450" s="79"/>
      <c r="E450" s="80"/>
      <c r="F450" s="81"/>
      <c r="G450" s="7"/>
      <c r="H450" s="8">
        <f>SUM(H448:H449)</f>
        <v>0</v>
      </c>
      <c r="I450" s="42">
        <f>SUM(I448:I449)</f>
        <v>0</v>
      </c>
      <c r="J450" s="1"/>
      <c r="K450" s="1"/>
      <c r="P450" s="1"/>
      <c r="Q450" s="1"/>
      <c r="R450" s="1"/>
      <c r="S450" s="1"/>
    </row>
    <row r="451" spans="1:19" ht="15.75" thickBot="1" x14ac:dyDescent="0.3">
      <c r="A451" s="138"/>
      <c r="B451" s="208"/>
      <c r="C451" s="174" t="s">
        <v>307</v>
      </c>
      <c r="D451" s="41"/>
      <c r="E451" s="41"/>
      <c r="F451" s="81"/>
      <c r="G451" s="106"/>
      <c r="H451" s="110"/>
      <c r="I451" s="9"/>
      <c r="J451" s="1"/>
      <c r="K451" s="1"/>
      <c r="P451" s="1"/>
      <c r="Q451" s="1"/>
      <c r="R451" s="1"/>
      <c r="S451" s="1"/>
    </row>
    <row r="452" spans="1:19" ht="42.75" x14ac:dyDescent="0.25">
      <c r="A452" s="67" t="s">
        <v>16</v>
      </c>
      <c r="B452" s="204" t="s">
        <v>9</v>
      </c>
      <c r="C452" s="177" t="s">
        <v>53</v>
      </c>
      <c r="D452" s="69" t="s">
        <v>54</v>
      </c>
      <c r="E452" s="69">
        <v>90.19</v>
      </c>
      <c r="F452" s="6"/>
      <c r="G452" s="42">
        <v>0</v>
      </c>
      <c r="H452" s="96"/>
      <c r="I452" s="42">
        <f>E452*G452</f>
        <v>0</v>
      </c>
      <c r="J452" s="1"/>
      <c r="K452" s="1">
        <f>K454+K455+K456+K457</f>
        <v>90.19</v>
      </c>
      <c r="P452" s="1"/>
      <c r="Q452" s="1"/>
      <c r="R452" s="1"/>
      <c r="S452" s="1"/>
    </row>
    <row r="453" spans="1:19" x14ac:dyDescent="0.25">
      <c r="A453" s="29" t="s">
        <v>17</v>
      </c>
      <c r="B453" s="205" t="s">
        <v>13</v>
      </c>
      <c r="C453" s="73" t="s">
        <v>55</v>
      </c>
      <c r="D453" s="71" t="s">
        <v>38</v>
      </c>
      <c r="E453" s="72">
        <f>0.606*E452</f>
        <v>54.66</v>
      </c>
      <c r="F453" s="113">
        <v>0</v>
      </c>
      <c r="G453" s="15"/>
      <c r="H453" s="33">
        <f>E453*F453</f>
        <v>0</v>
      </c>
      <c r="I453" s="15"/>
      <c r="J453" s="1"/>
      <c r="K453" s="1"/>
      <c r="P453" s="1"/>
      <c r="Q453" s="1"/>
      <c r="R453" s="1"/>
      <c r="S453" s="1"/>
    </row>
    <row r="454" spans="1:19" x14ac:dyDescent="0.25">
      <c r="A454" s="29" t="s">
        <v>18</v>
      </c>
      <c r="B454" s="205" t="s">
        <v>13</v>
      </c>
      <c r="C454" s="73" t="s">
        <v>56</v>
      </c>
      <c r="D454" s="71" t="s">
        <v>58</v>
      </c>
      <c r="E454" s="71">
        <v>152.69999999999999</v>
      </c>
      <c r="F454" s="113">
        <v>0</v>
      </c>
      <c r="G454" s="15"/>
      <c r="H454" s="33">
        <f>E454*F454</f>
        <v>0</v>
      </c>
      <c r="I454" s="15"/>
      <c r="J454" s="1"/>
      <c r="K454" s="1">
        <v>47.97</v>
      </c>
      <c r="P454" s="1"/>
      <c r="Q454" s="1"/>
      <c r="R454" s="1"/>
      <c r="S454" s="1"/>
    </row>
    <row r="455" spans="1:19" ht="30" x14ac:dyDescent="0.25">
      <c r="A455" s="29" t="s">
        <v>47</v>
      </c>
      <c r="B455" s="205" t="s">
        <v>13</v>
      </c>
      <c r="C455" s="366" t="s">
        <v>172</v>
      </c>
      <c r="D455" s="71" t="s">
        <v>14</v>
      </c>
      <c r="E455" s="71">
        <v>134</v>
      </c>
      <c r="F455" s="113">
        <v>0</v>
      </c>
      <c r="G455" s="15"/>
      <c r="H455" s="33">
        <f t="shared" ref="H455:H456" si="38">E455*F455</f>
        <v>0</v>
      </c>
      <c r="I455" s="15"/>
      <c r="J455" s="1"/>
      <c r="K455" s="1">
        <f>0.05*E455</f>
        <v>6.7</v>
      </c>
      <c r="P455" s="1"/>
      <c r="Q455" s="1"/>
      <c r="R455" s="1"/>
      <c r="S455" s="1"/>
    </row>
    <row r="456" spans="1:19" ht="30" x14ac:dyDescent="0.25">
      <c r="A456" s="29" t="s">
        <v>49</v>
      </c>
      <c r="B456" s="205" t="s">
        <v>13</v>
      </c>
      <c r="C456" s="366" t="s">
        <v>173</v>
      </c>
      <c r="D456" s="71" t="s">
        <v>14</v>
      </c>
      <c r="E456" s="71">
        <v>117</v>
      </c>
      <c r="F456" s="113">
        <v>0</v>
      </c>
      <c r="G456" s="15"/>
      <c r="H456" s="33">
        <f t="shared" si="38"/>
        <v>0</v>
      </c>
      <c r="I456" s="15"/>
      <c r="J456" s="1"/>
      <c r="K456" s="1">
        <f>0.06*E456</f>
        <v>7.02</v>
      </c>
      <c r="P456" s="1"/>
      <c r="Q456" s="1"/>
      <c r="R456" s="1"/>
      <c r="S456" s="1"/>
    </row>
    <row r="457" spans="1:19" x14ac:dyDescent="0.25">
      <c r="A457" s="29" t="s">
        <v>192</v>
      </c>
      <c r="B457" s="205" t="s">
        <v>13</v>
      </c>
      <c r="C457" s="366" t="s">
        <v>460</v>
      </c>
      <c r="D457" s="71" t="s">
        <v>14</v>
      </c>
      <c r="E457" s="71">
        <v>285</v>
      </c>
      <c r="F457" s="113">
        <v>0</v>
      </c>
      <c r="G457" s="15"/>
      <c r="H457" s="33">
        <f>E457*F457</f>
        <v>0</v>
      </c>
      <c r="I457" s="15"/>
      <c r="J457" s="1"/>
      <c r="K457" s="1">
        <f>0.1*E457</f>
        <v>28.5</v>
      </c>
      <c r="P457" s="1"/>
      <c r="Q457" s="1"/>
      <c r="R457" s="1"/>
      <c r="S457" s="1"/>
    </row>
    <row r="458" spans="1:19" ht="42.75" x14ac:dyDescent="0.25">
      <c r="A458" s="26" t="s">
        <v>19</v>
      </c>
      <c r="B458" s="228" t="s">
        <v>9</v>
      </c>
      <c r="C458" s="178" t="s">
        <v>153</v>
      </c>
      <c r="D458" s="75" t="s">
        <v>54</v>
      </c>
      <c r="E458" s="75">
        <f>139.83+25.1+7.53</f>
        <v>172.46</v>
      </c>
      <c r="F458" s="103"/>
      <c r="G458" s="58">
        <v>0</v>
      </c>
      <c r="H458" s="28"/>
      <c r="I458" s="58">
        <f>E458*G458</f>
        <v>0</v>
      </c>
      <c r="J458" s="1"/>
      <c r="K458" s="1"/>
      <c r="P458" s="1"/>
      <c r="Q458" s="1"/>
      <c r="R458" s="1"/>
      <c r="S458" s="1"/>
    </row>
    <row r="459" spans="1:19" x14ac:dyDescent="0.25">
      <c r="A459" s="29" t="s">
        <v>21</v>
      </c>
      <c r="B459" s="205" t="s">
        <v>13</v>
      </c>
      <c r="C459" s="73" t="s">
        <v>55</v>
      </c>
      <c r="D459" s="71" t="s">
        <v>38</v>
      </c>
      <c r="E459" s="72">
        <f>0.606*E458</f>
        <v>104.51</v>
      </c>
      <c r="F459" s="113">
        <v>0</v>
      </c>
      <c r="G459" s="15"/>
      <c r="H459" s="33">
        <f>E459*F459</f>
        <v>0</v>
      </c>
      <c r="I459" s="15"/>
      <c r="J459" s="1"/>
      <c r="K459" s="1"/>
      <c r="P459" s="1"/>
      <c r="Q459" s="1"/>
      <c r="R459" s="1"/>
      <c r="S459" s="1"/>
    </row>
    <row r="460" spans="1:19" x14ac:dyDescent="0.25">
      <c r="A460" s="29" t="s">
        <v>22</v>
      </c>
      <c r="B460" s="205" t="s">
        <v>13</v>
      </c>
      <c r="C460" s="73" t="s">
        <v>155</v>
      </c>
      <c r="D460" s="71" t="s">
        <v>58</v>
      </c>
      <c r="E460" s="71">
        <v>445.1</v>
      </c>
      <c r="F460" s="113">
        <v>0</v>
      </c>
      <c r="G460" s="15"/>
      <c r="H460" s="33">
        <f>E460*F460</f>
        <v>0</v>
      </c>
      <c r="I460" s="15"/>
      <c r="J460" s="1"/>
      <c r="K460" s="1">
        <v>139.83000000000001</v>
      </c>
      <c r="P460" s="1"/>
      <c r="Q460" s="1"/>
      <c r="R460" s="1"/>
      <c r="S460" s="1"/>
    </row>
    <row r="461" spans="1:19" x14ac:dyDescent="0.25">
      <c r="A461" s="29" t="s">
        <v>59</v>
      </c>
      <c r="B461" s="205" t="s">
        <v>13</v>
      </c>
      <c r="C461" s="73" t="s">
        <v>158</v>
      </c>
      <c r="D461" s="71" t="s">
        <v>14</v>
      </c>
      <c r="E461" s="71">
        <v>251</v>
      </c>
      <c r="F461" s="113">
        <v>0</v>
      </c>
      <c r="G461" s="15"/>
      <c r="H461" s="33">
        <f>E461*F461</f>
        <v>0</v>
      </c>
      <c r="I461" s="15"/>
      <c r="J461" s="1"/>
      <c r="K461" s="1">
        <f>0.03*E461</f>
        <v>7.53</v>
      </c>
      <c r="P461" s="1"/>
      <c r="Q461" s="1"/>
      <c r="R461" s="1"/>
      <c r="S461" s="1"/>
    </row>
    <row r="462" spans="1:19" x14ac:dyDescent="0.25">
      <c r="A462" s="29" t="s">
        <v>371</v>
      </c>
      <c r="B462" s="205" t="s">
        <v>13</v>
      </c>
      <c r="C462" s="73" t="s">
        <v>461</v>
      </c>
      <c r="D462" s="71" t="s">
        <v>14</v>
      </c>
      <c r="E462" s="71">
        <v>251</v>
      </c>
      <c r="F462" s="113">
        <v>0</v>
      </c>
      <c r="G462" s="15"/>
      <c r="H462" s="33">
        <f>E462*F462</f>
        <v>0</v>
      </c>
      <c r="I462" s="15"/>
      <c r="J462" s="1"/>
      <c r="K462" s="1">
        <f>0.1*E462</f>
        <v>25.1</v>
      </c>
      <c r="P462" s="1"/>
      <c r="Q462" s="1"/>
      <c r="R462" s="1"/>
      <c r="S462" s="1"/>
    </row>
    <row r="463" spans="1:19" ht="30" x14ac:dyDescent="0.25">
      <c r="A463" s="29" t="s">
        <v>372</v>
      </c>
      <c r="B463" s="205" t="s">
        <v>13</v>
      </c>
      <c r="C463" s="77" t="s">
        <v>156</v>
      </c>
      <c r="D463" s="20" t="s">
        <v>14</v>
      </c>
      <c r="E463" s="20">
        <v>251</v>
      </c>
      <c r="F463" s="113">
        <v>0</v>
      </c>
      <c r="G463" s="15"/>
      <c r="H463" s="33">
        <f>E463*F463</f>
        <v>0</v>
      </c>
      <c r="I463" s="15"/>
      <c r="J463" s="1"/>
      <c r="K463" s="1"/>
      <c r="P463" s="1"/>
      <c r="Q463" s="1"/>
      <c r="R463" s="1"/>
      <c r="S463" s="1"/>
    </row>
    <row r="464" spans="1:19" ht="42.75" x14ac:dyDescent="0.25">
      <c r="A464" s="26" t="s">
        <v>23</v>
      </c>
      <c r="B464" s="239" t="s">
        <v>9</v>
      </c>
      <c r="C464" s="179" t="s">
        <v>157</v>
      </c>
      <c r="D464" s="19" t="s">
        <v>54</v>
      </c>
      <c r="E464" s="19">
        <v>231.99</v>
      </c>
      <c r="F464" s="103"/>
      <c r="G464" s="58">
        <v>0</v>
      </c>
      <c r="H464" s="28"/>
      <c r="I464" s="58">
        <f>E464*G464</f>
        <v>0</v>
      </c>
      <c r="J464" s="1"/>
      <c r="K464" s="1">
        <f>K466+K467+K468+K469+K470+K471+K472</f>
        <v>231.99</v>
      </c>
      <c r="P464" s="1"/>
      <c r="Q464" s="1"/>
      <c r="R464" s="1"/>
      <c r="S464" s="1"/>
    </row>
    <row r="465" spans="1:19" x14ac:dyDescent="0.25">
      <c r="A465" s="29" t="s">
        <v>24</v>
      </c>
      <c r="B465" s="205" t="s">
        <v>13</v>
      </c>
      <c r="C465" s="180" t="s">
        <v>165</v>
      </c>
      <c r="D465" s="20" t="s">
        <v>38</v>
      </c>
      <c r="E465" s="76">
        <f>0.712*E464</f>
        <v>165.18</v>
      </c>
      <c r="F465" s="113">
        <v>0</v>
      </c>
      <c r="G465" s="15"/>
      <c r="H465" s="33">
        <f t="shared" ref="H465:H472" si="39">E465*F465</f>
        <v>0</v>
      </c>
      <c r="I465" s="15"/>
      <c r="J465" s="1"/>
      <c r="K465" s="1"/>
      <c r="P465" s="1"/>
      <c r="Q465" s="1"/>
      <c r="R465" s="1"/>
      <c r="S465" s="1"/>
    </row>
    <row r="466" spans="1:19" x14ac:dyDescent="0.25">
      <c r="A466" s="29" t="s">
        <v>60</v>
      </c>
      <c r="B466" s="205" t="s">
        <v>13</v>
      </c>
      <c r="C466" s="180" t="s">
        <v>160</v>
      </c>
      <c r="D466" s="20" t="s">
        <v>58</v>
      </c>
      <c r="E466" s="20">
        <v>49.4</v>
      </c>
      <c r="F466" s="113">
        <v>0</v>
      </c>
      <c r="G466" s="15"/>
      <c r="H466" s="33">
        <f t="shared" si="39"/>
        <v>0</v>
      </c>
      <c r="I466" s="15"/>
      <c r="J466" s="1"/>
      <c r="K466" s="1">
        <f>0.8*E466</f>
        <v>39.520000000000003</v>
      </c>
      <c r="P466" s="1"/>
      <c r="Q466" s="1"/>
      <c r="R466" s="1"/>
      <c r="S466" s="1"/>
    </row>
    <row r="467" spans="1:19" x14ac:dyDescent="0.25">
      <c r="A467" s="29" t="s">
        <v>138</v>
      </c>
      <c r="B467" s="205" t="s">
        <v>13</v>
      </c>
      <c r="C467" s="180" t="s">
        <v>161</v>
      </c>
      <c r="D467" s="20" t="s">
        <v>58</v>
      </c>
      <c r="E467" s="20">
        <v>234.9</v>
      </c>
      <c r="F467" s="113">
        <v>0</v>
      </c>
      <c r="G467" s="15"/>
      <c r="H467" s="33">
        <f t="shared" si="39"/>
        <v>0</v>
      </c>
      <c r="I467" s="15"/>
      <c r="J467" s="1"/>
      <c r="K467" s="1">
        <f>0.8*E467</f>
        <v>187.92</v>
      </c>
      <c r="P467" s="1"/>
      <c r="Q467" s="1"/>
      <c r="R467" s="1"/>
      <c r="S467" s="1"/>
    </row>
    <row r="468" spans="1:19" x14ac:dyDescent="0.25">
      <c r="A468" s="29" t="s">
        <v>373</v>
      </c>
      <c r="B468" s="205" t="s">
        <v>13</v>
      </c>
      <c r="C468" s="180" t="s">
        <v>162</v>
      </c>
      <c r="D468" s="20" t="s">
        <v>14</v>
      </c>
      <c r="E468" s="20">
        <v>5</v>
      </c>
      <c r="F468" s="113">
        <v>0</v>
      </c>
      <c r="G468" s="15"/>
      <c r="H468" s="33">
        <f t="shared" si="39"/>
        <v>0</v>
      </c>
      <c r="I468" s="15"/>
      <c r="J468" s="1"/>
      <c r="K468" s="1">
        <f>0.28*E468</f>
        <v>1.4</v>
      </c>
      <c r="P468" s="1"/>
      <c r="Q468" s="1"/>
      <c r="R468" s="1"/>
      <c r="S468" s="1"/>
    </row>
    <row r="469" spans="1:19" ht="30" x14ac:dyDescent="0.25">
      <c r="A469" s="29" t="s">
        <v>374</v>
      </c>
      <c r="B469" s="205" t="s">
        <v>13</v>
      </c>
      <c r="C469" s="180" t="s">
        <v>163</v>
      </c>
      <c r="D469" s="20" t="s">
        <v>14</v>
      </c>
      <c r="E469" s="20">
        <v>1</v>
      </c>
      <c r="F469" s="113">
        <v>0</v>
      </c>
      <c r="G469" s="15"/>
      <c r="H469" s="33">
        <f t="shared" si="39"/>
        <v>0</v>
      </c>
      <c r="I469" s="15"/>
      <c r="J469" s="1"/>
      <c r="K469" s="1">
        <f>0.33*E469</f>
        <v>0.33</v>
      </c>
      <c r="P469" s="1"/>
      <c r="Q469" s="1"/>
      <c r="R469" s="1"/>
      <c r="S469" s="1"/>
    </row>
    <row r="470" spans="1:19" x14ac:dyDescent="0.25">
      <c r="A470" s="29" t="s">
        <v>375</v>
      </c>
      <c r="B470" s="205" t="s">
        <v>13</v>
      </c>
      <c r="C470" s="180" t="s">
        <v>584</v>
      </c>
      <c r="D470" s="20" t="s">
        <v>14</v>
      </c>
      <c r="E470" s="20">
        <v>1</v>
      </c>
      <c r="F470" s="113">
        <v>0</v>
      </c>
      <c r="G470" s="15"/>
      <c r="H470" s="33">
        <f t="shared" si="39"/>
        <v>0</v>
      </c>
      <c r="I470" s="15"/>
      <c r="J470" s="1"/>
      <c r="K470" s="1">
        <f>0.08*E470</f>
        <v>0.08</v>
      </c>
      <c r="P470" s="1"/>
      <c r="Q470" s="1"/>
      <c r="R470" s="1"/>
      <c r="S470" s="1"/>
    </row>
    <row r="471" spans="1:19" x14ac:dyDescent="0.25">
      <c r="A471" s="29" t="s">
        <v>376</v>
      </c>
      <c r="B471" s="205" t="s">
        <v>13</v>
      </c>
      <c r="C471" s="180" t="s">
        <v>171</v>
      </c>
      <c r="D471" s="20" t="s">
        <v>14</v>
      </c>
      <c r="E471" s="20">
        <v>5</v>
      </c>
      <c r="F471" s="113">
        <v>0</v>
      </c>
      <c r="G471" s="15"/>
      <c r="H471" s="33">
        <f t="shared" si="39"/>
        <v>0</v>
      </c>
      <c r="I471" s="15"/>
      <c r="J471" s="1"/>
      <c r="K471" s="1">
        <f>0.08*E471</f>
        <v>0.4</v>
      </c>
      <c r="P471" s="1"/>
      <c r="Q471" s="1"/>
      <c r="R471" s="1"/>
      <c r="S471" s="1"/>
    </row>
    <row r="472" spans="1:19" ht="30" x14ac:dyDescent="0.25">
      <c r="A472" s="29" t="s">
        <v>377</v>
      </c>
      <c r="B472" s="205" t="s">
        <v>13</v>
      </c>
      <c r="C472" s="180" t="s">
        <v>164</v>
      </c>
      <c r="D472" s="20" t="s">
        <v>14</v>
      </c>
      <c r="E472" s="20">
        <v>6</v>
      </c>
      <c r="F472" s="113">
        <v>0</v>
      </c>
      <c r="G472" s="15"/>
      <c r="H472" s="33">
        <f t="shared" si="39"/>
        <v>0</v>
      </c>
      <c r="I472" s="15"/>
      <c r="J472" s="1"/>
      <c r="K472" s="1">
        <f>0.39*E472</f>
        <v>2.34</v>
      </c>
      <c r="P472" s="1"/>
      <c r="Q472" s="1"/>
      <c r="R472" s="1"/>
      <c r="S472" s="1"/>
    </row>
    <row r="473" spans="1:19" ht="42.75" x14ac:dyDescent="0.25">
      <c r="A473" s="26" t="s">
        <v>51</v>
      </c>
      <c r="B473" s="228" t="s">
        <v>9</v>
      </c>
      <c r="C473" s="178" t="s">
        <v>166</v>
      </c>
      <c r="D473" s="19" t="s">
        <v>54</v>
      </c>
      <c r="E473" s="19">
        <v>507.48</v>
      </c>
      <c r="F473" s="103"/>
      <c r="G473" s="58">
        <v>0</v>
      </c>
      <c r="H473" s="28"/>
      <c r="I473" s="58">
        <f>E473*G473</f>
        <v>0</v>
      </c>
      <c r="J473" s="1"/>
      <c r="K473" s="1">
        <f>K475+K476+K477+K478+K479+K480+K481+K482+K483+K484+K485+K486+K487+K488+K489</f>
        <v>507.48</v>
      </c>
      <c r="P473" s="1"/>
      <c r="Q473" s="1"/>
      <c r="R473" s="1"/>
      <c r="S473" s="1"/>
    </row>
    <row r="474" spans="1:19" x14ac:dyDescent="0.25">
      <c r="A474" s="29" t="s">
        <v>26</v>
      </c>
      <c r="B474" s="205" t="s">
        <v>13</v>
      </c>
      <c r="C474" s="77" t="s">
        <v>55</v>
      </c>
      <c r="D474" s="20" t="s">
        <v>38</v>
      </c>
      <c r="E474" s="76">
        <f>1.22*E473</f>
        <v>619.13</v>
      </c>
      <c r="F474" s="113">
        <v>0</v>
      </c>
      <c r="G474" s="15"/>
      <c r="H474" s="33">
        <f t="shared" ref="H474:H489" si="40">E474*F474</f>
        <v>0</v>
      </c>
      <c r="I474" s="15"/>
      <c r="J474" s="1"/>
      <c r="K474" s="1"/>
      <c r="P474" s="1"/>
      <c r="Q474" s="1"/>
      <c r="R474" s="1"/>
      <c r="S474" s="1"/>
    </row>
    <row r="475" spans="1:19" x14ac:dyDescent="0.25">
      <c r="A475" s="29" t="s">
        <v>27</v>
      </c>
      <c r="B475" s="205" t="s">
        <v>13</v>
      </c>
      <c r="C475" s="77" t="s">
        <v>193</v>
      </c>
      <c r="D475" s="20" t="s">
        <v>58</v>
      </c>
      <c r="E475" s="76">
        <v>48.1</v>
      </c>
      <c r="F475" s="113">
        <v>0</v>
      </c>
      <c r="G475" s="15"/>
      <c r="H475" s="33">
        <f t="shared" si="40"/>
        <v>0</v>
      </c>
      <c r="I475" s="15"/>
      <c r="J475" s="1"/>
      <c r="K475" s="1">
        <f>1.1*E475</f>
        <v>52.91</v>
      </c>
      <c r="P475" s="1"/>
      <c r="Q475" s="1"/>
      <c r="R475" s="1"/>
      <c r="S475" s="1"/>
    </row>
    <row r="476" spans="1:19" x14ac:dyDescent="0.25">
      <c r="A476" s="29" t="s">
        <v>28</v>
      </c>
      <c r="B476" s="205" t="s">
        <v>13</v>
      </c>
      <c r="C476" s="77" t="s">
        <v>167</v>
      </c>
      <c r="D476" s="20" t="s">
        <v>58</v>
      </c>
      <c r="E476" s="20">
        <v>331.1</v>
      </c>
      <c r="F476" s="113">
        <v>0</v>
      </c>
      <c r="G476" s="15"/>
      <c r="H476" s="33">
        <f t="shared" si="40"/>
        <v>0</v>
      </c>
      <c r="I476" s="15"/>
      <c r="J476" s="1"/>
      <c r="K476" s="1">
        <f>1.3*E476</f>
        <v>430.43</v>
      </c>
      <c r="P476" s="1"/>
      <c r="Q476" s="1"/>
      <c r="R476" s="1"/>
      <c r="S476" s="1"/>
    </row>
    <row r="477" spans="1:19" x14ac:dyDescent="0.25">
      <c r="A477" s="29" t="s">
        <v>62</v>
      </c>
      <c r="B477" s="205" t="s">
        <v>13</v>
      </c>
      <c r="C477" s="77" t="s">
        <v>313</v>
      </c>
      <c r="D477" s="20" t="s">
        <v>58</v>
      </c>
      <c r="E477" s="20">
        <v>0.1</v>
      </c>
      <c r="F477" s="113">
        <v>0</v>
      </c>
      <c r="G477" s="15"/>
      <c r="H477" s="33">
        <f t="shared" si="40"/>
        <v>0</v>
      </c>
      <c r="I477" s="15"/>
      <c r="J477" s="1"/>
      <c r="K477" s="1">
        <f>1.1*E477</f>
        <v>0.11</v>
      </c>
      <c r="P477" s="1"/>
      <c r="Q477" s="1"/>
      <c r="R477" s="1"/>
      <c r="S477" s="1"/>
    </row>
    <row r="478" spans="1:19" x14ac:dyDescent="0.25">
      <c r="A478" s="29" t="s">
        <v>232</v>
      </c>
      <c r="B478" s="205" t="s">
        <v>13</v>
      </c>
      <c r="C478" s="77" t="s">
        <v>169</v>
      </c>
      <c r="D478" s="20" t="s">
        <v>58</v>
      </c>
      <c r="E478" s="20">
        <v>4.8</v>
      </c>
      <c r="F478" s="113">
        <v>0</v>
      </c>
      <c r="G478" s="15"/>
      <c r="H478" s="33">
        <f t="shared" si="40"/>
        <v>0</v>
      </c>
      <c r="I478" s="15"/>
      <c r="J478" s="1"/>
      <c r="K478" s="1">
        <f>1.3*E478</f>
        <v>6.24</v>
      </c>
      <c r="P478" s="1"/>
      <c r="Q478" s="1"/>
      <c r="R478" s="1"/>
      <c r="S478" s="1"/>
    </row>
    <row r="479" spans="1:19" x14ac:dyDescent="0.25">
      <c r="A479" s="29" t="s">
        <v>378</v>
      </c>
      <c r="B479" s="205" t="s">
        <v>13</v>
      </c>
      <c r="C479" s="77" t="s">
        <v>194</v>
      </c>
      <c r="D479" s="20" t="s">
        <v>58</v>
      </c>
      <c r="E479" s="20">
        <v>2.6</v>
      </c>
      <c r="F479" s="113">
        <v>0</v>
      </c>
      <c r="G479" s="15"/>
      <c r="H479" s="33">
        <f t="shared" si="40"/>
        <v>0</v>
      </c>
      <c r="I479" s="15"/>
      <c r="J479" s="1"/>
      <c r="K479" s="1">
        <f>1.4*E479</f>
        <v>3.64</v>
      </c>
      <c r="P479" s="1"/>
      <c r="Q479" s="1"/>
      <c r="R479" s="1"/>
      <c r="S479" s="1"/>
    </row>
    <row r="480" spans="1:19" x14ac:dyDescent="0.25">
      <c r="A480" s="29" t="s">
        <v>379</v>
      </c>
      <c r="B480" s="205" t="s">
        <v>13</v>
      </c>
      <c r="C480" s="77" t="s">
        <v>585</v>
      </c>
      <c r="D480" s="20" t="s">
        <v>58</v>
      </c>
      <c r="E480" s="20">
        <v>2.2000000000000002</v>
      </c>
      <c r="F480" s="113">
        <v>0</v>
      </c>
      <c r="G480" s="15"/>
      <c r="H480" s="33">
        <f t="shared" si="40"/>
        <v>0</v>
      </c>
      <c r="I480" s="15"/>
      <c r="J480" s="1"/>
      <c r="K480" s="1">
        <f>1.6*E480</f>
        <v>3.52</v>
      </c>
      <c r="P480" s="1"/>
      <c r="Q480" s="1"/>
      <c r="R480" s="1"/>
      <c r="S480" s="1"/>
    </row>
    <row r="481" spans="1:19" x14ac:dyDescent="0.25">
      <c r="A481" s="29" t="s">
        <v>380</v>
      </c>
      <c r="B481" s="205" t="s">
        <v>13</v>
      </c>
      <c r="C481" s="77" t="s">
        <v>195</v>
      </c>
      <c r="D481" s="20" t="s">
        <v>14</v>
      </c>
      <c r="E481" s="20">
        <v>1</v>
      </c>
      <c r="F481" s="113">
        <v>0</v>
      </c>
      <c r="G481" s="15"/>
      <c r="H481" s="33">
        <f t="shared" si="40"/>
        <v>0</v>
      </c>
      <c r="I481" s="15"/>
      <c r="J481" s="1"/>
      <c r="K481" s="1">
        <f>0.39*E481</f>
        <v>0.39</v>
      </c>
      <c r="P481" s="1"/>
      <c r="Q481" s="1"/>
      <c r="R481" s="1"/>
      <c r="S481" s="1"/>
    </row>
    <row r="482" spans="1:19" x14ac:dyDescent="0.25">
      <c r="A482" s="29" t="s">
        <v>381</v>
      </c>
      <c r="B482" s="205" t="s">
        <v>13</v>
      </c>
      <c r="C482" s="77" t="s">
        <v>174</v>
      </c>
      <c r="D482" s="20" t="s">
        <v>14</v>
      </c>
      <c r="E482" s="20">
        <v>6</v>
      </c>
      <c r="F482" s="113">
        <v>0</v>
      </c>
      <c r="G482" s="15"/>
      <c r="H482" s="33">
        <f t="shared" si="40"/>
        <v>0</v>
      </c>
      <c r="I482" s="15"/>
      <c r="J482" s="1"/>
      <c r="K482" s="1">
        <f>0.46*E482</f>
        <v>2.76</v>
      </c>
      <c r="P482" s="1"/>
      <c r="Q482" s="1"/>
      <c r="R482" s="1"/>
      <c r="S482" s="1"/>
    </row>
    <row r="483" spans="1:19" x14ac:dyDescent="0.25">
      <c r="A483" s="29" t="s">
        <v>382</v>
      </c>
      <c r="B483" s="205" t="s">
        <v>13</v>
      </c>
      <c r="C483" s="77" t="s">
        <v>196</v>
      </c>
      <c r="D483" s="20" t="s">
        <v>14</v>
      </c>
      <c r="E483" s="20">
        <v>1</v>
      </c>
      <c r="F483" s="113">
        <v>0</v>
      </c>
      <c r="G483" s="15"/>
      <c r="H483" s="33">
        <f t="shared" si="40"/>
        <v>0</v>
      </c>
      <c r="I483" s="15"/>
      <c r="J483" s="1"/>
      <c r="K483" s="1">
        <f>0.13*E483</f>
        <v>0.13</v>
      </c>
      <c r="P483" s="1"/>
      <c r="Q483" s="1"/>
      <c r="R483" s="1"/>
      <c r="S483" s="1"/>
    </row>
    <row r="484" spans="1:19" x14ac:dyDescent="0.25">
      <c r="A484" s="29" t="s">
        <v>383</v>
      </c>
      <c r="B484" s="205" t="s">
        <v>13</v>
      </c>
      <c r="C484" s="77" t="s">
        <v>175</v>
      </c>
      <c r="D484" s="20" t="s">
        <v>14</v>
      </c>
      <c r="E484" s="20">
        <v>7</v>
      </c>
      <c r="F484" s="113">
        <v>0</v>
      </c>
      <c r="G484" s="15"/>
      <c r="H484" s="33">
        <f t="shared" si="40"/>
        <v>0</v>
      </c>
      <c r="I484" s="15"/>
      <c r="J484" s="1"/>
      <c r="K484" s="1">
        <f>0.17*E484</f>
        <v>1.19</v>
      </c>
      <c r="P484" s="1"/>
      <c r="Q484" s="1"/>
      <c r="R484" s="1"/>
      <c r="S484" s="1"/>
    </row>
    <row r="485" spans="1:19" x14ac:dyDescent="0.25">
      <c r="A485" s="29" t="s">
        <v>464</v>
      </c>
      <c r="B485" s="205" t="s">
        <v>13</v>
      </c>
      <c r="C485" s="77" t="s">
        <v>197</v>
      </c>
      <c r="D485" s="20" t="s">
        <v>14</v>
      </c>
      <c r="E485" s="20">
        <v>1</v>
      </c>
      <c r="F485" s="113">
        <v>0</v>
      </c>
      <c r="G485" s="15"/>
      <c r="H485" s="33">
        <f t="shared" si="40"/>
        <v>0</v>
      </c>
      <c r="I485" s="15"/>
      <c r="J485" s="1"/>
      <c r="K485" s="1">
        <f>0.54*E485</f>
        <v>0.54</v>
      </c>
      <c r="P485" s="1"/>
      <c r="Q485" s="1"/>
      <c r="R485" s="1"/>
      <c r="S485" s="1"/>
    </row>
    <row r="486" spans="1:19" x14ac:dyDescent="0.25">
      <c r="A486" s="29" t="s">
        <v>466</v>
      </c>
      <c r="B486" s="205" t="s">
        <v>13</v>
      </c>
      <c r="C486" s="77" t="s">
        <v>177</v>
      </c>
      <c r="D486" s="20" t="s">
        <v>14</v>
      </c>
      <c r="E486" s="20">
        <v>7</v>
      </c>
      <c r="F486" s="113">
        <v>0</v>
      </c>
      <c r="G486" s="15"/>
      <c r="H486" s="33">
        <f t="shared" si="40"/>
        <v>0</v>
      </c>
      <c r="I486" s="15"/>
      <c r="J486" s="1"/>
      <c r="K486" s="1">
        <f>0.64*E486</f>
        <v>4.4800000000000004</v>
      </c>
      <c r="P486" s="1"/>
      <c r="Q486" s="1"/>
      <c r="R486" s="1"/>
      <c r="S486" s="1"/>
    </row>
    <row r="487" spans="1:19" x14ac:dyDescent="0.25">
      <c r="A487" s="29" t="s">
        <v>770</v>
      </c>
      <c r="B487" s="205" t="s">
        <v>13</v>
      </c>
      <c r="C487" s="77" t="s">
        <v>308</v>
      </c>
      <c r="D487" s="20" t="s">
        <v>14</v>
      </c>
      <c r="E487" s="20">
        <v>1</v>
      </c>
      <c r="F487" s="113">
        <v>0</v>
      </c>
      <c r="G487" s="15"/>
      <c r="H487" s="33">
        <f t="shared" si="40"/>
        <v>0</v>
      </c>
      <c r="I487" s="15"/>
      <c r="J487" s="1"/>
      <c r="K487" s="1">
        <f>0.79*E487</f>
        <v>0.79</v>
      </c>
      <c r="P487" s="1"/>
      <c r="Q487" s="1"/>
      <c r="R487" s="1"/>
      <c r="S487" s="1"/>
    </row>
    <row r="488" spans="1:19" ht="30" x14ac:dyDescent="0.25">
      <c r="A488" s="29" t="s">
        <v>771</v>
      </c>
      <c r="B488" s="205" t="s">
        <v>13</v>
      </c>
      <c r="C488" s="180" t="s">
        <v>588</v>
      </c>
      <c r="D488" s="20" t="s">
        <v>14</v>
      </c>
      <c r="E488" s="20">
        <v>1</v>
      </c>
      <c r="F488" s="113">
        <v>0</v>
      </c>
      <c r="G488" s="15"/>
      <c r="H488" s="33">
        <f t="shared" si="40"/>
        <v>0</v>
      </c>
      <c r="I488" s="15"/>
      <c r="J488" s="1"/>
      <c r="K488" s="1">
        <f>0.16*E488</f>
        <v>0.16</v>
      </c>
      <c r="P488" s="1"/>
      <c r="Q488" s="1"/>
      <c r="R488" s="1"/>
      <c r="S488" s="1"/>
    </row>
    <row r="489" spans="1:19" ht="30" x14ac:dyDescent="0.25">
      <c r="A489" s="29" t="s">
        <v>772</v>
      </c>
      <c r="B489" s="205" t="s">
        <v>13</v>
      </c>
      <c r="C489" s="180" t="s">
        <v>589</v>
      </c>
      <c r="D489" s="20" t="s">
        <v>14</v>
      </c>
      <c r="E489" s="20">
        <v>1</v>
      </c>
      <c r="F489" s="113">
        <v>0</v>
      </c>
      <c r="G489" s="15"/>
      <c r="H489" s="33">
        <f t="shared" si="40"/>
        <v>0</v>
      </c>
      <c r="I489" s="15"/>
      <c r="J489" s="1"/>
      <c r="K489" s="1">
        <f>0.19*E489</f>
        <v>0.19</v>
      </c>
      <c r="P489" s="1"/>
      <c r="Q489" s="1"/>
      <c r="R489" s="1"/>
      <c r="S489" s="1"/>
    </row>
    <row r="490" spans="1:19" ht="42.75" x14ac:dyDescent="0.25">
      <c r="A490" s="26" t="s">
        <v>29</v>
      </c>
      <c r="B490" s="228" t="s">
        <v>9</v>
      </c>
      <c r="C490" s="178" t="s">
        <v>180</v>
      </c>
      <c r="D490" s="19" t="s">
        <v>54</v>
      </c>
      <c r="E490" s="19">
        <v>15.79</v>
      </c>
      <c r="F490" s="103"/>
      <c r="G490" s="58">
        <v>0</v>
      </c>
      <c r="H490" s="28"/>
      <c r="I490" s="58">
        <f>E490*G490</f>
        <v>0</v>
      </c>
      <c r="J490" s="1"/>
      <c r="K490" s="1">
        <f>K492+K493+K494+K495</f>
        <v>15.79</v>
      </c>
      <c r="P490" s="1"/>
      <c r="Q490" s="1"/>
      <c r="R490" s="1"/>
      <c r="S490" s="1"/>
    </row>
    <row r="491" spans="1:19" x14ac:dyDescent="0.25">
      <c r="A491" s="29" t="s">
        <v>31</v>
      </c>
      <c r="B491" s="240" t="s">
        <v>13</v>
      </c>
      <c r="C491" s="77" t="s">
        <v>55</v>
      </c>
      <c r="D491" s="20" t="s">
        <v>38</v>
      </c>
      <c r="E491" s="76">
        <f>2.25*E490</f>
        <v>35.53</v>
      </c>
      <c r="F491" s="113">
        <v>0</v>
      </c>
      <c r="G491" s="15"/>
      <c r="H491" s="33">
        <f>F491*E491</f>
        <v>0</v>
      </c>
      <c r="I491" s="15"/>
      <c r="J491" s="1"/>
      <c r="K491" s="1"/>
      <c r="P491" s="1"/>
      <c r="Q491" s="1"/>
      <c r="R491" s="1"/>
      <c r="S491" s="1"/>
    </row>
    <row r="492" spans="1:19" x14ac:dyDescent="0.25">
      <c r="A492" s="29" t="s">
        <v>63</v>
      </c>
      <c r="B492" s="205" t="s">
        <v>13</v>
      </c>
      <c r="C492" s="77" t="s">
        <v>198</v>
      </c>
      <c r="D492" s="20" t="s">
        <v>58</v>
      </c>
      <c r="E492" s="20">
        <v>8.1</v>
      </c>
      <c r="F492" s="113">
        <v>0</v>
      </c>
      <c r="G492" s="15"/>
      <c r="H492" s="33">
        <f t="shared" ref="H492:H495" si="41">F492*E492</f>
        <v>0</v>
      </c>
      <c r="I492" s="15"/>
      <c r="J492" s="1"/>
      <c r="K492" s="1">
        <f>1.8*8.1</f>
        <v>14.58</v>
      </c>
      <c r="P492" s="1"/>
      <c r="Q492" s="1"/>
      <c r="R492" s="1"/>
      <c r="S492" s="1"/>
    </row>
    <row r="493" spans="1:19" ht="30" x14ac:dyDescent="0.25">
      <c r="A493" s="29" t="s">
        <v>64</v>
      </c>
      <c r="B493" s="205" t="s">
        <v>13</v>
      </c>
      <c r="C493" s="77" t="s">
        <v>586</v>
      </c>
      <c r="D493" s="20" t="s">
        <v>14</v>
      </c>
      <c r="E493" s="20">
        <v>1</v>
      </c>
      <c r="F493" s="113">
        <v>0</v>
      </c>
      <c r="G493" s="15"/>
      <c r="H493" s="33">
        <f t="shared" si="41"/>
        <v>0</v>
      </c>
      <c r="I493" s="15"/>
      <c r="J493" s="1"/>
      <c r="K493" s="1">
        <f>0.29*E493</f>
        <v>0.28999999999999998</v>
      </c>
      <c r="P493" s="1"/>
      <c r="Q493" s="1"/>
      <c r="R493" s="1"/>
      <c r="S493" s="1"/>
    </row>
    <row r="494" spans="1:19" ht="30" x14ac:dyDescent="0.25">
      <c r="A494" s="29" t="s">
        <v>65</v>
      </c>
      <c r="B494" s="205" t="s">
        <v>13</v>
      </c>
      <c r="C494" s="77" t="s">
        <v>587</v>
      </c>
      <c r="D494" s="20" t="s">
        <v>14</v>
      </c>
      <c r="E494" s="175">
        <v>1</v>
      </c>
      <c r="F494" s="113">
        <v>0</v>
      </c>
      <c r="G494" s="15"/>
      <c r="H494" s="33">
        <f t="shared" si="41"/>
        <v>0</v>
      </c>
      <c r="I494" s="15"/>
      <c r="J494" s="1"/>
      <c r="K494" s="1">
        <f>0.21*E494</f>
        <v>0.21</v>
      </c>
      <c r="P494" s="1"/>
      <c r="Q494" s="1"/>
      <c r="R494" s="1"/>
      <c r="S494" s="1"/>
    </row>
    <row r="495" spans="1:19" x14ac:dyDescent="0.25">
      <c r="A495" s="29" t="s">
        <v>66</v>
      </c>
      <c r="B495" s="205" t="s">
        <v>13</v>
      </c>
      <c r="C495" s="77" t="s">
        <v>592</v>
      </c>
      <c r="D495" s="20" t="s">
        <v>14</v>
      </c>
      <c r="E495" s="20">
        <v>1</v>
      </c>
      <c r="F495" s="113">
        <v>0</v>
      </c>
      <c r="G495" s="15"/>
      <c r="H495" s="33">
        <f t="shared" si="41"/>
        <v>0</v>
      </c>
      <c r="I495" s="15"/>
      <c r="J495" s="1"/>
      <c r="K495" s="1">
        <f>0.71*E495</f>
        <v>0.71</v>
      </c>
      <c r="P495" s="1"/>
      <c r="Q495" s="1"/>
      <c r="R495" s="1"/>
      <c r="S495" s="1"/>
    </row>
    <row r="496" spans="1:19" ht="50.25" customHeight="1" x14ac:dyDescent="0.25">
      <c r="A496" s="26" t="s">
        <v>32</v>
      </c>
      <c r="B496" s="228" t="s">
        <v>9</v>
      </c>
      <c r="C496" s="17" t="s">
        <v>183</v>
      </c>
      <c r="D496" s="19" t="s">
        <v>54</v>
      </c>
      <c r="E496" s="19">
        <v>22.94</v>
      </c>
      <c r="F496" s="113"/>
      <c r="G496" s="58">
        <v>0</v>
      </c>
      <c r="H496" s="33"/>
      <c r="I496" s="58">
        <f>E496*G496</f>
        <v>0</v>
      </c>
      <c r="J496" s="1"/>
      <c r="K496" s="1">
        <f>K498+K499+K500</f>
        <v>22.94</v>
      </c>
      <c r="P496" s="1"/>
      <c r="Q496" s="1"/>
      <c r="R496" s="1"/>
      <c r="S496" s="1"/>
    </row>
    <row r="497" spans="1:19" ht="14.25" customHeight="1" x14ac:dyDescent="0.25">
      <c r="A497" s="29" t="s">
        <v>33</v>
      </c>
      <c r="B497" s="205" t="s">
        <v>13</v>
      </c>
      <c r="C497" s="11" t="s">
        <v>55</v>
      </c>
      <c r="D497" s="20" t="s">
        <v>38</v>
      </c>
      <c r="E497" s="76">
        <f>2.25*E496</f>
        <v>51.62</v>
      </c>
      <c r="F497" s="113">
        <v>0</v>
      </c>
      <c r="G497" s="15"/>
      <c r="H497" s="33">
        <f t="shared" ref="H497:H507" si="42">E497*F497</f>
        <v>0</v>
      </c>
      <c r="I497" s="15"/>
      <c r="J497" s="1"/>
      <c r="K497" s="1"/>
      <c r="P497" s="1"/>
      <c r="Q497" s="1"/>
      <c r="R497" s="1"/>
      <c r="S497" s="1"/>
    </row>
    <row r="498" spans="1:19" ht="36.75" customHeight="1" x14ac:dyDescent="0.25">
      <c r="A498" s="29" t="s">
        <v>34</v>
      </c>
      <c r="B498" s="205" t="s">
        <v>13</v>
      </c>
      <c r="C498" s="11" t="s">
        <v>591</v>
      </c>
      <c r="D498" s="20" t="s">
        <v>14</v>
      </c>
      <c r="E498" s="20">
        <v>2</v>
      </c>
      <c r="F498" s="113">
        <v>0</v>
      </c>
      <c r="G498" s="15"/>
      <c r="H498" s="33">
        <f t="shared" si="42"/>
        <v>0</v>
      </c>
      <c r="I498" s="15"/>
      <c r="J498" s="1"/>
      <c r="K498" s="1">
        <f>0.91*E498</f>
        <v>1.82</v>
      </c>
      <c r="P498" s="1"/>
      <c r="Q498" s="1"/>
      <c r="R498" s="1"/>
      <c r="S498" s="1"/>
    </row>
    <row r="499" spans="1:19" ht="31.5" customHeight="1" x14ac:dyDescent="0.25">
      <c r="A499" s="29" t="s">
        <v>35</v>
      </c>
      <c r="B499" s="205" t="s">
        <v>13</v>
      </c>
      <c r="C499" s="11" t="s">
        <v>590</v>
      </c>
      <c r="D499" s="20" t="s">
        <v>58</v>
      </c>
      <c r="E499" s="20">
        <v>7.8</v>
      </c>
      <c r="F499" s="113">
        <v>0</v>
      </c>
      <c r="G499" s="15"/>
      <c r="H499" s="33">
        <f t="shared" si="42"/>
        <v>0</v>
      </c>
      <c r="I499" s="15"/>
      <c r="J499" s="1"/>
      <c r="K499" s="1">
        <f>2.6*E499</f>
        <v>20.28</v>
      </c>
      <c r="P499" s="1"/>
      <c r="Q499" s="1"/>
      <c r="R499" s="1"/>
      <c r="S499" s="1"/>
    </row>
    <row r="500" spans="1:19" ht="30" customHeight="1" x14ac:dyDescent="0.25">
      <c r="A500" s="29" t="s">
        <v>151</v>
      </c>
      <c r="B500" s="205" t="s">
        <v>13</v>
      </c>
      <c r="C500" s="11" t="s">
        <v>593</v>
      </c>
      <c r="D500" s="20" t="s">
        <v>14</v>
      </c>
      <c r="E500" s="20">
        <v>2</v>
      </c>
      <c r="F500" s="113">
        <v>0</v>
      </c>
      <c r="G500" s="15"/>
      <c r="H500" s="33">
        <f t="shared" si="42"/>
        <v>0</v>
      </c>
      <c r="I500" s="15"/>
      <c r="J500" s="1"/>
      <c r="K500" s="1">
        <f>0.42*E500</f>
        <v>0.84</v>
      </c>
      <c r="P500" s="1"/>
      <c r="Q500" s="1"/>
      <c r="R500" s="1"/>
      <c r="S500" s="1"/>
    </row>
    <row r="501" spans="1:19" ht="53.25" customHeight="1" x14ac:dyDescent="0.25">
      <c r="A501" s="26" t="s">
        <v>36</v>
      </c>
      <c r="B501" s="228" t="s">
        <v>9</v>
      </c>
      <c r="C501" s="17" t="s">
        <v>594</v>
      </c>
      <c r="D501" s="19" t="s">
        <v>54</v>
      </c>
      <c r="E501" s="19">
        <v>14.57</v>
      </c>
      <c r="F501" s="113"/>
      <c r="G501" s="58">
        <v>0</v>
      </c>
      <c r="H501" s="33"/>
      <c r="I501" s="58">
        <f>E501*G501</f>
        <v>0</v>
      </c>
      <c r="J501" s="1"/>
      <c r="K501" s="1">
        <f>K503+K504+K505+K506+K507</f>
        <v>14.57</v>
      </c>
      <c r="P501" s="1"/>
      <c r="Q501" s="1"/>
      <c r="R501" s="1"/>
      <c r="S501" s="1"/>
    </row>
    <row r="502" spans="1:19" x14ac:dyDescent="0.25">
      <c r="A502" s="29" t="s">
        <v>37</v>
      </c>
      <c r="B502" s="205" t="s">
        <v>13</v>
      </c>
      <c r="C502" s="11" t="s">
        <v>55</v>
      </c>
      <c r="D502" s="20" t="s">
        <v>38</v>
      </c>
      <c r="E502" s="76">
        <f>2.25*E501</f>
        <v>32.78</v>
      </c>
      <c r="F502" s="113">
        <v>0</v>
      </c>
      <c r="G502" s="15"/>
      <c r="H502" s="33">
        <f t="shared" ref="H502:H504" si="43">E502*F502</f>
        <v>0</v>
      </c>
      <c r="I502" s="15"/>
      <c r="J502" s="1"/>
      <c r="K502" s="1"/>
      <c r="P502" s="1"/>
      <c r="Q502" s="1"/>
      <c r="R502" s="1"/>
      <c r="S502" s="1"/>
    </row>
    <row r="503" spans="1:19" ht="30" x14ac:dyDescent="0.25">
      <c r="A503" s="29" t="s">
        <v>233</v>
      </c>
      <c r="B503" s="205" t="s">
        <v>13</v>
      </c>
      <c r="C503" s="11" t="s">
        <v>595</v>
      </c>
      <c r="D503" s="20" t="s">
        <v>58</v>
      </c>
      <c r="E503" s="76">
        <v>0.7</v>
      </c>
      <c r="F503" s="113">
        <v>0</v>
      </c>
      <c r="G503" s="15"/>
      <c r="H503" s="33">
        <f t="shared" si="43"/>
        <v>0</v>
      </c>
      <c r="I503" s="15"/>
      <c r="J503" s="1"/>
      <c r="K503" s="1">
        <f>3.6*E503</f>
        <v>2.52</v>
      </c>
      <c r="P503" s="1"/>
      <c r="Q503" s="1"/>
      <c r="R503" s="1"/>
      <c r="S503" s="1"/>
    </row>
    <row r="504" spans="1:19" ht="30" customHeight="1" x14ac:dyDescent="0.25">
      <c r="A504" s="29" t="s">
        <v>239</v>
      </c>
      <c r="B504" s="205" t="s">
        <v>13</v>
      </c>
      <c r="C504" s="11" t="s">
        <v>596</v>
      </c>
      <c r="D504" s="20" t="s">
        <v>58</v>
      </c>
      <c r="E504" s="20">
        <v>1.9</v>
      </c>
      <c r="F504" s="113">
        <v>0</v>
      </c>
      <c r="G504" s="15"/>
      <c r="H504" s="33">
        <f t="shared" si="43"/>
        <v>0</v>
      </c>
      <c r="I504" s="15"/>
      <c r="J504" s="1"/>
      <c r="K504" s="1">
        <f>E504*3.6</f>
        <v>6.84</v>
      </c>
      <c r="P504" s="1"/>
      <c r="Q504" s="1"/>
      <c r="R504" s="1"/>
      <c r="S504" s="1"/>
    </row>
    <row r="505" spans="1:19" ht="32.25" customHeight="1" x14ac:dyDescent="0.25">
      <c r="A505" s="29" t="s">
        <v>497</v>
      </c>
      <c r="B505" s="205" t="s">
        <v>13</v>
      </c>
      <c r="C505" s="11" t="s">
        <v>598</v>
      </c>
      <c r="D505" s="20" t="s">
        <v>14</v>
      </c>
      <c r="E505" s="20">
        <v>1</v>
      </c>
      <c r="F505" s="113">
        <v>0</v>
      </c>
      <c r="G505" s="15"/>
      <c r="H505" s="33">
        <f t="shared" si="42"/>
        <v>0</v>
      </c>
      <c r="I505" s="15"/>
      <c r="J505" s="1"/>
      <c r="K505" s="1">
        <f>0.9*E505</f>
        <v>0.9</v>
      </c>
      <c r="P505" s="1"/>
      <c r="Q505" s="1"/>
      <c r="R505" s="1"/>
      <c r="S505" s="1"/>
    </row>
    <row r="506" spans="1:19" ht="32.25" customHeight="1" x14ac:dyDescent="0.25">
      <c r="A506" s="29" t="s">
        <v>498</v>
      </c>
      <c r="B506" s="205" t="s">
        <v>13</v>
      </c>
      <c r="C506" s="11" t="s">
        <v>599</v>
      </c>
      <c r="D506" s="20" t="s">
        <v>14</v>
      </c>
      <c r="E506" s="20">
        <v>1</v>
      </c>
      <c r="F506" s="113">
        <v>0</v>
      </c>
      <c r="G506" s="15"/>
      <c r="H506" s="33">
        <f t="shared" si="42"/>
        <v>0</v>
      </c>
      <c r="I506" s="15"/>
      <c r="J506" s="1"/>
      <c r="K506" s="1">
        <f>3.33*E506</f>
        <v>3.33</v>
      </c>
      <c r="P506" s="1"/>
      <c r="Q506" s="1"/>
      <c r="R506" s="1"/>
      <c r="S506" s="1"/>
    </row>
    <row r="507" spans="1:19" ht="14.25" customHeight="1" x14ac:dyDescent="0.25">
      <c r="A507" s="29" t="s">
        <v>499</v>
      </c>
      <c r="B507" s="205" t="s">
        <v>13</v>
      </c>
      <c r="C507" s="77" t="s">
        <v>597</v>
      </c>
      <c r="D507" s="20" t="s">
        <v>14</v>
      </c>
      <c r="E507" s="20">
        <v>1</v>
      </c>
      <c r="F507" s="113">
        <v>0</v>
      </c>
      <c r="G507" s="15"/>
      <c r="H507" s="33">
        <f t="shared" si="42"/>
        <v>0</v>
      </c>
      <c r="I507" s="15"/>
      <c r="J507" s="1"/>
      <c r="K507" s="1">
        <f>0.98*E507</f>
        <v>0.98</v>
      </c>
      <c r="P507" s="1"/>
      <c r="Q507" s="1"/>
      <c r="R507" s="1"/>
      <c r="S507" s="1"/>
    </row>
    <row r="508" spans="1:19" ht="36" customHeight="1" x14ac:dyDescent="0.25">
      <c r="A508" s="26" t="s">
        <v>39</v>
      </c>
      <c r="B508" s="228" t="s">
        <v>189</v>
      </c>
      <c r="C508" s="17" t="s">
        <v>48</v>
      </c>
      <c r="D508" s="19" t="s">
        <v>14</v>
      </c>
      <c r="E508" s="19">
        <v>14</v>
      </c>
      <c r="F508" s="103"/>
      <c r="G508" s="58">
        <v>0</v>
      </c>
      <c r="H508" s="28"/>
      <c r="I508" s="58">
        <f>E508*G508</f>
        <v>0</v>
      </c>
      <c r="J508" s="1"/>
      <c r="K508" s="1"/>
      <c r="P508" s="1"/>
      <c r="Q508" s="1"/>
      <c r="R508" s="1"/>
      <c r="S508" s="1"/>
    </row>
    <row r="509" spans="1:19" ht="39.75" customHeight="1" x14ac:dyDescent="0.25">
      <c r="A509" s="29" t="s">
        <v>40</v>
      </c>
      <c r="B509" s="205" t="s">
        <v>13</v>
      </c>
      <c r="C509" s="11" t="s">
        <v>186</v>
      </c>
      <c r="D509" s="20" t="s">
        <v>14</v>
      </c>
      <c r="E509" s="175">
        <v>6</v>
      </c>
      <c r="F509" s="113">
        <v>0</v>
      </c>
      <c r="G509" s="15"/>
      <c r="H509" s="33">
        <f>E509*F509</f>
        <v>0</v>
      </c>
      <c r="I509" s="15"/>
      <c r="J509" s="1"/>
      <c r="K509" s="1"/>
      <c r="P509" s="1"/>
      <c r="Q509" s="1"/>
      <c r="R509" s="1"/>
      <c r="S509" s="1"/>
    </row>
    <row r="510" spans="1:19" ht="37.5" customHeight="1" x14ac:dyDescent="0.25">
      <c r="A510" s="29" t="s">
        <v>41</v>
      </c>
      <c r="B510" s="205" t="s">
        <v>13</v>
      </c>
      <c r="C510" s="55" t="s">
        <v>201</v>
      </c>
      <c r="D510" s="94" t="s">
        <v>14</v>
      </c>
      <c r="E510" s="288">
        <v>1</v>
      </c>
      <c r="F510" s="120">
        <v>0</v>
      </c>
      <c r="G510" s="127"/>
      <c r="H510" s="186">
        <f>E510*F510</f>
        <v>0</v>
      </c>
      <c r="I510" s="127"/>
      <c r="J510" s="1"/>
      <c r="K510" s="1"/>
      <c r="P510" s="1"/>
      <c r="Q510" s="1"/>
      <c r="R510" s="1"/>
      <c r="S510" s="1"/>
    </row>
    <row r="511" spans="1:19" ht="32.25" customHeight="1" x14ac:dyDescent="0.25">
      <c r="A511" s="29" t="s">
        <v>500</v>
      </c>
      <c r="B511" s="205" t="s">
        <v>13</v>
      </c>
      <c r="C511" s="55" t="s">
        <v>187</v>
      </c>
      <c r="D511" s="94" t="s">
        <v>14</v>
      </c>
      <c r="E511" s="288">
        <v>7</v>
      </c>
      <c r="F511" s="120">
        <v>0</v>
      </c>
      <c r="G511" s="127"/>
      <c r="H511" s="186">
        <f>E511*F511</f>
        <v>0</v>
      </c>
      <c r="I511" s="127"/>
      <c r="J511" s="1"/>
      <c r="K511" s="1"/>
      <c r="P511" s="1"/>
      <c r="Q511" s="1"/>
      <c r="R511" s="1"/>
      <c r="S511" s="1"/>
    </row>
    <row r="512" spans="1:19" ht="27" customHeight="1" x14ac:dyDescent="0.25">
      <c r="A512" s="26" t="s">
        <v>242</v>
      </c>
      <c r="B512" s="239" t="s">
        <v>9</v>
      </c>
      <c r="C512" s="17" t="s">
        <v>137</v>
      </c>
      <c r="D512" s="19" t="s">
        <v>14</v>
      </c>
      <c r="E512" s="19">
        <v>134</v>
      </c>
      <c r="F512" s="103"/>
      <c r="G512" s="58">
        <v>0</v>
      </c>
      <c r="H512" s="28"/>
      <c r="I512" s="58">
        <f>E512*G512</f>
        <v>0</v>
      </c>
      <c r="J512" s="1"/>
      <c r="K512" s="1"/>
      <c r="P512" s="1"/>
      <c r="Q512" s="1"/>
      <c r="R512" s="1"/>
      <c r="S512" s="1"/>
    </row>
    <row r="513" spans="1:19" ht="25.5" customHeight="1" x14ac:dyDescent="0.25">
      <c r="A513" s="29" t="s">
        <v>42</v>
      </c>
      <c r="B513" s="205" t="s">
        <v>13</v>
      </c>
      <c r="C513" s="11" t="s">
        <v>191</v>
      </c>
      <c r="D513" s="20" t="s">
        <v>14</v>
      </c>
      <c r="E513" s="20">
        <v>134</v>
      </c>
      <c r="F513" s="113">
        <v>0</v>
      </c>
      <c r="G513" s="58"/>
      <c r="H513" s="186">
        <f t="shared" ref="H513" si="44">E513*F513</f>
        <v>0</v>
      </c>
      <c r="I513" s="58"/>
      <c r="J513" s="1"/>
      <c r="K513" s="1"/>
      <c r="P513" s="1"/>
      <c r="Q513" s="1"/>
      <c r="R513" s="1"/>
      <c r="S513" s="1"/>
    </row>
    <row r="514" spans="1:19" ht="25.5" customHeight="1" x14ac:dyDescent="0.25">
      <c r="A514" s="26" t="s">
        <v>69</v>
      </c>
      <c r="B514" s="239" t="s">
        <v>9</v>
      </c>
      <c r="C514" s="17" t="s">
        <v>502</v>
      </c>
      <c r="D514" s="19" t="s">
        <v>14</v>
      </c>
      <c r="E514" s="19">
        <v>117</v>
      </c>
      <c r="F514" s="103"/>
      <c r="G514" s="58">
        <v>0</v>
      </c>
      <c r="H514" s="28"/>
      <c r="I514" s="58">
        <f>E514*G514</f>
        <v>0</v>
      </c>
      <c r="J514" s="1"/>
      <c r="K514" s="1"/>
      <c r="P514" s="1"/>
      <c r="Q514" s="1"/>
      <c r="R514" s="1"/>
      <c r="S514" s="1"/>
    </row>
    <row r="515" spans="1:19" ht="24.75" customHeight="1" x14ac:dyDescent="0.25">
      <c r="A515" s="129" t="s">
        <v>70</v>
      </c>
      <c r="B515" s="205" t="s">
        <v>13</v>
      </c>
      <c r="C515" s="11" t="s">
        <v>190</v>
      </c>
      <c r="D515" s="20" t="s">
        <v>14</v>
      </c>
      <c r="E515" s="20">
        <v>117</v>
      </c>
      <c r="F515" s="113">
        <v>0</v>
      </c>
      <c r="G515" s="15"/>
      <c r="H515" s="186">
        <f t="shared" ref="H515" si="45">E515*F515</f>
        <v>0</v>
      </c>
      <c r="I515" s="15"/>
      <c r="J515" s="1"/>
      <c r="K515" s="1"/>
      <c r="P515" s="1"/>
      <c r="Q515" s="1"/>
      <c r="R515" s="1"/>
      <c r="S515" s="1"/>
    </row>
    <row r="516" spans="1:19" ht="37.5" customHeight="1" x14ac:dyDescent="0.25">
      <c r="A516" s="251">
        <v>12</v>
      </c>
      <c r="B516" s="239" t="s">
        <v>9</v>
      </c>
      <c r="C516" s="17" t="s">
        <v>600</v>
      </c>
      <c r="D516" s="19" t="s">
        <v>14</v>
      </c>
      <c r="E516" s="19">
        <v>1</v>
      </c>
      <c r="F516" s="103"/>
      <c r="G516" s="58">
        <v>0</v>
      </c>
      <c r="H516" s="28"/>
      <c r="I516" s="58">
        <f>E516*G516</f>
        <v>0</v>
      </c>
      <c r="J516" s="1"/>
      <c r="K516" s="1"/>
      <c r="P516" s="1"/>
      <c r="Q516" s="1"/>
      <c r="R516" s="1"/>
      <c r="S516" s="1"/>
    </row>
    <row r="517" spans="1:19" ht="24.75" customHeight="1" x14ac:dyDescent="0.25">
      <c r="A517" s="29" t="s">
        <v>73</v>
      </c>
      <c r="B517" s="205" t="s">
        <v>13</v>
      </c>
      <c r="C517" s="11" t="s">
        <v>522</v>
      </c>
      <c r="D517" s="20" t="s">
        <v>14</v>
      </c>
      <c r="E517" s="20">
        <v>1</v>
      </c>
      <c r="F517" s="113">
        <v>0</v>
      </c>
      <c r="G517" s="15"/>
      <c r="H517" s="33">
        <f>E517*F517</f>
        <v>0</v>
      </c>
      <c r="I517" s="15"/>
      <c r="J517" s="1"/>
      <c r="K517" s="1"/>
      <c r="P517" s="1"/>
      <c r="Q517" s="1"/>
      <c r="R517" s="1"/>
      <c r="S517" s="1"/>
    </row>
    <row r="518" spans="1:19" ht="30.75" customHeight="1" x14ac:dyDescent="0.25">
      <c r="A518" s="173" t="s">
        <v>830</v>
      </c>
      <c r="B518" s="252" t="s">
        <v>9</v>
      </c>
      <c r="C518" s="17" t="s">
        <v>803</v>
      </c>
      <c r="D518" s="19" t="s">
        <v>472</v>
      </c>
      <c r="E518" s="19"/>
      <c r="F518" s="103"/>
      <c r="G518" s="58">
        <v>0</v>
      </c>
      <c r="H518" s="28"/>
      <c r="I518" s="58">
        <f>E518*G518</f>
        <v>0</v>
      </c>
      <c r="J518" s="1"/>
      <c r="K518" s="1"/>
      <c r="P518" s="1"/>
      <c r="Q518" s="1"/>
      <c r="R518" s="1"/>
      <c r="S518" s="1"/>
    </row>
    <row r="519" spans="1:19" ht="36.75" customHeight="1" x14ac:dyDescent="0.25">
      <c r="A519" s="173" t="s">
        <v>76</v>
      </c>
      <c r="B519" s="234" t="s">
        <v>9</v>
      </c>
      <c r="C519" s="17" t="s">
        <v>211</v>
      </c>
      <c r="D519" s="19" t="s">
        <v>54</v>
      </c>
      <c r="E519" s="18">
        <v>1003.1</v>
      </c>
      <c r="F519" s="103"/>
      <c r="G519" s="58">
        <v>0</v>
      </c>
      <c r="H519" s="28"/>
      <c r="I519" s="58">
        <f>E519*G519</f>
        <v>0</v>
      </c>
      <c r="J519" s="1"/>
      <c r="K519" s="1"/>
      <c r="P519" s="1"/>
      <c r="Q519" s="1"/>
      <c r="R519" s="1"/>
      <c r="S519" s="1"/>
    </row>
    <row r="520" spans="1:19" ht="14.25" customHeight="1" x14ac:dyDescent="0.25">
      <c r="A520" s="29" t="s">
        <v>77</v>
      </c>
      <c r="B520" s="220" t="s">
        <v>13</v>
      </c>
      <c r="C520" s="188" t="s">
        <v>209</v>
      </c>
      <c r="D520" s="90" t="s">
        <v>54</v>
      </c>
      <c r="E520" s="12">
        <f>1.1*E519</f>
        <v>1103.4100000000001</v>
      </c>
      <c r="F520" s="113">
        <v>0</v>
      </c>
      <c r="G520" s="15"/>
      <c r="H520" s="33">
        <f>E520*F520</f>
        <v>0</v>
      </c>
      <c r="I520" s="15"/>
      <c r="J520" s="1"/>
      <c r="K520" s="1"/>
      <c r="P520" s="1"/>
      <c r="Q520" s="1"/>
      <c r="R520" s="1"/>
      <c r="S520" s="1"/>
    </row>
    <row r="521" spans="1:19" ht="14.25" customHeight="1" x14ac:dyDescent="0.25">
      <c r="A521" s="29" t="s">
        <v>387</v>
      </c>
      <c r="B521" s="220" t="s">
        <v>13</v>
      </c>
      <c r="C521" s="11" t="s">
        <v>266</v>
      </c>
      <c r="D521" s="20" t="s">
        <v>38</v>
      </c>
      <c r="E521" s="12">
        <f>0.7*E519</f>
        <v>702.17</v>
      </c>
      <c r="F521" s="113">
        <v>0</v>
      </c>
      <c r="G521" s="15"/>
      <c r="H521" s="33">
        <f>E521*F521</f>
        <v>0</v>
      </c>
      <c r="I521" s="15"/>
      <c r="J521" s="1"/>
      <c r="K521" s="1"/>
      <c r="P521" s="1"/>
      <c r="Q521" s="1"/>
      <c r="R521" s="1"/>
      <c r="S521" s="1"/>
    </row>
    <row r="522" spans="1:19" ht="32.25" customHeight="1" x14ac:dyDescent="0.25">
      <c r="A522" s="173" t="s">
        <v>78</v>
      </c>
      <c r="B522" s="252" t="s">
        <v>9</v>
      </c>
      <c r="C522" s="250" t="s">
        <v>202</v>
      </c>
      <c r="D522" s="88" t="s">
        <v>54</v>
      </c>
      <c r="E522" s="88">
        <v>7.6</v>
      </c>
      <c r="F522" s="143"/>
      <c r="G522" s="65">
        <v>0</v>
      </c>
      <c r="H522" s="150"/>
      <c r="I522" s="65">
        <f>E522*G522</f>
        <v>0</v>
      </c>
      <c r="J522" s="1"/>
      <c r="K522" s="1"/>
      <c r="P522" s="1"/>
      <c r="Q522" s="1"/>
      <c r="R522" s="1"/>
      <c r="S522" s="1"/>
    </row>
    <row r="523" spans="1:19" ht="14.25" customHeight="1" x14ac:dyDescent="0.25">
      <c r="A523" s="130" t="s">
        <v>79</v>
      </c>
      <c r="B523" s="206" t="s">
        <v>13</v>
      </c>
      <c r="C523" s="188" t="s">
        <v>203</v>
      </c>
      <c r="D523" s="90" t="s">
        <v>54</v>
      </c>
      <c r="E523" s="90">
        <v>7.6</v>
      </c>
      <c r="F523" s="126">
        <v>0</v>
      </c>
      <c r="G523" s="119"/>
      <c r="H523" s="62">
        <f>E523*F523</f>
        <v>0</v>
      </c>
      <c r="I523" s="119"/>
      <c r="J523" s="1"/>
      <c r="K523" s="1"/>
      <c r="P523" s="1"/>
      <c r="Q523" s="1"/>
      <c r="R523" s="1"/>
      <c r="S523" s="1"/>
    </row>
    <row r="524" spans="1:19" ht="14.25" customHeight="1" thickBot="1" x14ac:dyDescent="0.3">
      <c r="A524" s="129" t="s">
        <v>392</v>
      </c>
      <c r="B524" s="240" t="s">
        <v>13</v>
      </c>
      <c r="C524" s="55" t="s">
        <v>204</v>
      </c>
      <c r="D524" s="94" t="s">
        <v>54</v>
      </c>
      <c r="E524" s="94">
        <v>7.6</v>
      </c>
      <c r="F524" s="111">
        <v>0</v>
      </c>
      <c r="G524" s="44"/>
      <c r="H524" s="186">
        <f>E524*F524</f>
        <v>0</v>
      </c>
      <c r="I524" s="127"/>
      <c r="J524" s="1"/>
      <c r="K524" s="1"/>
      <c r="P524" s="1"/>
      <c r="Q524" s="1"/>
      <c r="R524" s="1"/>
      <c r="S524" s="1"/>
    </row>
    <row r="525" spans="1:19" ht="14.25" customHeight="1" thickBot="1" x14ac:dyDescent="0.3">
      <c r="A525" s="46"/>
      <c r="B525" s="207"/>
      <c r="C525" s="268" t="s">
        <v>417</v>
      </c>
      <c r="D525" s="3"/>
      <c r="E525" s="3"/>
      <c r="F525" s="99"/>
      <c r="G525" s="86"/>
      <c r="H525" s="99">
        <f>SUM(H453:H524)</f>
        <v>0</v>
      </c>
      <c r="I525" s="86">
        <f>SUM(I452:I524)</f>
        <v>0</v>
      </c>
      <c r="J525" s="1"/>
      <c r="K525" s="1"/>
      <c r="P525" s="1"/>
      <c r="Q525" s="1"/>
      <c r="R525" s="1"/>
      <c r="S525" s="1"/>
    </row>
    <row r="526" spans="1:19" ht="14.25" customHeight="1" thickBot="1" x14ac:dyDescent="0.3">
      <c r="A526" s="83"/>
      <c r="B526" s="241"/>
      <c r="C526" s="98" t="s">
        <v>312</v>
      </c>
      <c r="D526" s="48"/>
      <c r="E526" s="48"/>
      <c r="F526" s="132"/>
      <c r="G526" s="52"/>
      <c r="H526" s="132"/>
      <c r="I526" s="52"/>
      <c r="J526" s="1"/>
      <c r="K526" s="1"/>
      <c r="P526" s="1"/>
      <c r="Q526" s="1"/>
      <c r="R526" s="1"/>
      <c r="S526" s="1"/>
    </row>
    <row r="527" spans="1:19" ht="48.75" customHeight="1" x14ac:dyDescent="0.25">
      <c r="A527" s="67" t="s">
        <v>80</v>
      </c>
      <c r="B527" s="204" t="s">
        <v>9</v>
      </c>
      <c r="C527" s="177" t="s">
        <v>53</v>
      </c>
      <c r="D527" s="69" t="s">
        <v>54</v>
      </c>
      <c r="E527" s="69">
        <v>146.38</v>
      </c>
      <c r="F527" s="6"/>
      <c r="G527" s="42">
        <v>0</v>
      </c>
      <c r="H527" s="96"/>
      <c r="I527" s="42">
        <f>E527*G527</f>
        <v>0</v>
      </c>
      <c r="J527" s="1"/>
      <c r="K527" s="1">
        <f>K529+K530+K531+K532</f>
        <v>146.38</v>
      </c>
      <c r="P527" s="1"/>
      <c r="Q527" s="1"/>
      <c r="R527" s="1"/>
      <c r="S527" s="1"/>
    </row>
    <row r="528" spans="1:19" ht="14.25" customHeight="1" x14ac:dyDescent="0.25">
      <c r="A528" s="29" t="s">
        <v>81</v>
      </c>
      <c r="B528" s="205" t="s">
        <v>13</v>
      </c>
      <c r="C528" s="73" t="s">
        <v>55</v>
      </c>
      <c r="D528" s="71" t="s">
        <v>38</v>
      </c>
      <c r="E528" s="72">
        <f>0.606*E527</f>
        <v>88.71</v>
      </c>
      <c r="F528" s="113">
        <v>0</v>
      </c>
      <c r="G528" s="15"/>
      <c r="H528" s="33">
        <f>E528*F528</f>
        <v>0</v>
      </c>
      <c r="I528" s="15"/>
      <c r="J528" s="1"/>
      <c r="K528" s="1"/>
      <c r="P528" s="1"/>
      <c r="Q528" s="1"/>
      <c r="R528" s="1"/>
      <c r="S528" s="1"/>
    </row>
    <row r="529" spans="1:19" ht="14.25" customHeight="1" x14ac:dyDescent="0.25">
      <c r="A529" s="29" t="s">
        <v>82</v>
      </c>
      <c r="B529" s="205" t="s">
        <v>13</v>
      </c>
      <c r="C529" s="73" t="s">
        <v>56</v>
      </c>
      <c r="D529" s="71" t="s">
        <v>58</v>
      </c>
      <c r="E529" s="71">
        <v>291.7</v>
      </c>
      <c r="F529" s="113">
        <v>0</v>
      </c>
      <c r="G529" s="15"/>
      <c r="H529" s="33">
        <f>E529*F529</f>
        <v>0</v>
      </c>
      <c r="I529" s="15"/>
      <c r="J529" s="1"/>
      <c r="K529" s="1">
        <v>91.64</v>
      </c>
      <c r="P529" s="1"/>
      <c r="Q529" s="1"/>
      <c r="R529" s="1"/>
      <c r="S529" s="1"/>
    </row>
    <row r="530" spans="1:19" ht="28.5" customHeight="1" x14ac:dyDescent="0.25">
      <c r="A530" s="29" t="s">
        <v>83</v>
      </c>
      <c r="B530" s="205" t="s">
        <v>13</v>
      </c>
      <c r="C530" s="366" t="s">
        <v>172</v>
      </c>
      <c r="D530" s="71" t="s">
        <v>14</v>
      </c>
      <c r="E530" s="71">
        <v>136</v>
      </c>
      <c r="F530" s="113">
        <v>0</v>
      </c>
      <c r="G530" s="15"/>
      <c r="H530" s="33">
        <f t="shared" ref="H530:H531" si="46">E530*F530</f>
        <v>0</v>
      </c>
      <c r="I530" s="15"/>
      <c r="J530" s="1"/>
      <c r="K530" s="1">
        <f>0.05*E530</f>
        <v>6.8</v>
      </c>
      <c r="P530" s="1"/>
      <c r="Q530" s="1"/>
      <c r="R530" s="1"/>
      <c r="S530" s="1"/>
    </row>
    <row r="531" spans="1:19" ht="36" customHeight="1" x14ac:dyDescent="0.25">
      <c r="A531" s="29" t="s">
        <v>84</v>
      </c>
      <c r="B531" s="205" t="s">
        <v>13</v>
      </c>
      <c r="C531" s="366" t="s">
        <v>173</v>
      </c>
      <c r="D531" s="71" t="s">
        <v>14</v>
      </c>
      <c r="E531" s="71">
        <v>119</v>
      </c>
      <c r="F531" s="113">
        <v>0</v>
      </c>
      <c r="G531" s="15"/>
      <c r="H531" s="33">
        <f t="shared" si="46"/>
        <v>0</v>
      </c>
      <c r="I531" s="15"/>
      <c r="J531" s="1"/>
      <c r="K531" s="1">
        <f>0.06*E531</f>
        <v>7.14</v>
      </c>
      <c r="P531" s="1"/>
      <c r="Q531" s="1"/>
      <c r="R531" s="1"/>
      <c r="S531" s="1"/>
    </row>
    <row r="532" spans="1:19" ht="14.25" customHeight="1" x14ac:dyDescent="0.25">
      <c r="A532" s="29" t="s">
        <v>85</v>
      </c>
      <c r="B532" s="205" t="s">
        <v>13</v>
      </c>
      <c r="C532" s="366" t="s">
        <v>442</v>
      </c>
      <c r="D532" s="71" t="s">
        <v>14</v>
      </c>
      <c r="E532" s="71">
        <v>408</v>
      </c>
      <c r="F532" s="113">
        <v>0</v>
      </c>
      <c r="G532" s="15"/>
      <c r="H532" s="33">
        <f>E532*F532</f>
        <v>0</v>
      </c>
      <c r="I532" s="15"/>
      <c r="J532" s="1"/>
      <c r="K532" s="1">
        <f>0.1*E532</f>
        <v>40.799999999999997</v>
      </c>
      <c r="P532" s="1"/>
      <c r="Q532" s="1"/>
      <c r="R532" s="1"/>
      <c r="S532" s="1"/>
    </row>
    <row r="533" spans="1:19" ht="40.5" customHeight="1" x14ac:dyDescent="0.25">
      <c r="A533" s="315" t="s">
        <v>86</v>
      </c>
      <c r="B533" s="316" t="s">
        <v>9</v>
      </c>
      <c r="C533" s="178" t="s">
        <v>153</v>
      </c>
      <c r="D533" s="75" t="s">
        <v>54</v>
      </c>
      <c r="E533" s="75">
        <v>175.53</v>
      </c>
      <c r="F533" s="356"/>
      <c r="G533" s="318">
        <v>0</v>
      </c>
      <c r="H533" s="317"/>
      <c r="I533" s="318">
        <f>E533*G533</f>
        <v>0</v>
      </c>
      <c r="J533" s="1"/>
      <c r="K533" s="276">
        <f>K535+K536+K537</f>
        <v>175.53</v>
      </c>
      <c r="P533" s="1"/>
      <c r="Q533" s="1"/>
      <c r="R533" s="1"/>
      <c r="S533" s="1"/>
    </row>
    <row r="534" spans="1:19" ht="14.25" customHeight="1" x14ac:dyDescent="0.25">
      <c r="A534" s="29" t="s">
        <v>87</v>
      </c>
      <c r="B534" s="205" t="s">
        <v>13</v>
      </c>
      <c r="C534" s="73" t="s">
        <v>55</v>
      </c>
      <c r="D534" s="71" t="s">
        <v>38</v>
      </c>
      <c r="E534" s="72">
        <f>0.606*E533</f>
        <v>106.37</v>
      </c>
      <c r="F534" s="113">
        <v>0</v>
      </c>
      <c r="G534" s="15"/>
      <c r="H534" s="33">
        <f>E534*F534</f>
        <v>0</v>
      </c>
      <c r="I534" s="15"/>
      <c r="J534" s="1"/>
      <c r="K534" s="1"/>
      <c r="P534" s="1"/>
      <c r="Q534" s="1"/>
      <c r="R534" s="1"/>
      <c r="S534" s="1"/>
    </row>
    <row r="535" spans="1:19" ht="18.75" customHeight="1" x14ac:dyDescent="0.25">
      <c r="A535" s="29" t="s">
        <v>396</v>
      </c>
      <c r="B535" s="205" t="s">
        <v>13</v>
      </c>
      <c r="C535" s="73" t="s">
        <v>155</v>
      </c>
      <c r="D535" s="71" t="s">
        <v>58</v>
      </c>
      <c r="E535" s="71">
        <v>453.2</v>
      </c>
      <c r="F535" s="113">
        <v>0</v>
      </c>
      <c r="G535" s="15"/>
      <c r="H535" s="33">
        <f>E535*F535</f>
        <v>0</v>
      </c>
      <c r="I535" s="15"/>
      <c r="J535" s="1"/>
      <c r="K535" s="1">
        <f>142.38</f>
        <v>142.38</v>
      </c>
      <c r="P535" s="1"/>
      <c r="Q535" s="1"/>
      <c r="R535" s="1"/>
      <c r="S535" s="1"/>
    </row>
    <row r="536" spans="1:19" ht="14.25" customHeight="1" x14ac:dyDescent="0.25">
      <c r="A536" s="29" t="s">
        <v>398</v>
      </c>
      <c r="B536" s="205" t="s">
        <v>13</v>
      </c>
      <c r="C536" s="73" t="s">
        <v>158</v>
      </c>
      <c r="D536" s="71" t="s">
        <v>14</v>
      </c>
      <c r="E536" s="71">
        <v>255</v>
      </c>
      <c r="F536" s="113">
        <v>0</v>
      </c>
      <c r="G536" s="15"/>
      <c r="H536" s="33">
        <f>E536*F536</f>
        <v>0</v>
      </c>
      <c r="I536" s="15"/>
      <c r="J536" s="1"/>
      <c r="K536" s="1">
        <f>0.03*E536</f>
        <v>7.65</v>
      </c>
      <c r="P536" s="1"/>
      <c r="Q536" s="1"/>
      <c r="R536" s="1"/>
      <c r="S536" s="1"/>
    </row>
    <row r="537" spans="1:19" ht="14.25" customHeight="1" x14ac:dyDescent="0.25">
      <c r="A537" s="29" t="s">
        <v>397</v>
      </c>
      <c r="B537" s="205" t="s">
        <v>13</v>
      </c>
      <c r="C537" s="73" t="s">
        <v>159</v>
      </c>
      <c r="D537" s="71" t="s">
        <v>14</v>
      </c>
      <c r="E537" s="71">
        <v>255</v>
      </c>
      <c r="F537" s="113">
        <v>0</v>
      </c>
      <c r="G537" s="15"/>
      <c r="H537" s="33">
        <f>E537*F537</f>
        <v>0</v>
      </c>
      <c r="I537" s="15"/>
      <c r="J537" s="1"/>
      <c r="K537" s="1">
        <f>0.1*E537</f>
        <v>25.5</v>
      </c>
      <c r="P537" s="1"/>
      <c r="Q537" s="1"/>
      <c r="R537" s="1"/>
      <c r="S537" s="1"/>
    </row>
    <row r="538" spans="1:19" ht="14.25" customHeight="1" x14ac:dyDescent="0.25">
      <c r="A538" s="29" t="s">
        <v>399</v>
      </c>
      <c r="B538" s="205" t="s">
        <v>13</v>
      </c>
      <c r="C538" s="77" t="s">
        <v>156</v>
      </c>
      <c r="D538" s="20" t="s">
        <v>14</v>
      </c>
      <c r="E538" s="20">
        <v>255</v>
      </c>
      <c r="F538" s="113">
        <v>0</v>
      </c>
      <c r="G538" s="15"/>
      <c r="H538" s="33">
        <f>E538*F538</f>
        <v>0</v>
      </c>
      <c r="I538" s="15"/>
      <c r="J538" s="1"/>
      <c r="K538" s="1"/>
      <c r="P538" s="1"/>
      <c r="Q538" s="1"/>
      <c r="R538" s="1"/>
      <c r="S538" s="1"/>
    </row>
    <row r="539" spans="1:19" ht="45" customHeight="1" x14ac:dyDescent="0.25">
      <c r="A539" s="26" t="s">
        <v>88</v>
      </c>
      <c r="B539" s="239" t="s">
        <v>9</v>
      </c>
      <c r="C539" s="179" t="s">
        <v>157</v>
      </c>
      <c r="D539" s="19" t="s">
        <v>54</v>
      </c>
      <c r="E539" s="19">
        <v>79.599999999999994</v>
      </c>
      <c r="F539" s="103"/>
      <c r="G539" s="58">
        <v>0</v>
      </c>
      <c r="H539" s="28"/>
      <c r="I539" s="58">
        <f>E539*G539</f>
        <v>0</v>
      </c>
      <c r="J539" s="1"/>
      <c r="K539" s="1">
        <f>K541+K542+K543+K544+K545</f>
        <v>79.599999999999994</v>
      </c>
      <c r="P539" s="1"/>
      <c r="Q539" s="1"/>
      <c r="R539" s="1"/>
      <c r="S539" s="1"/>
    </row>
    <row r="540" spans="1:19" ht="14.25" customHeight="1" x14ac:dyDescent="0.25">
      <c r="A540" s="29" t="s">
        <v>89</v>
      </c>
      <c r="B540" s="205" t="s">
        <v>13</v>
      </c>
      <c r="C540" s="180" t="s">
        <v>165</v>
      </c>
      <c r="D540" s="20" t="s">
        <v>38</v>
      </c>
      <c r="E540" s="76">
        <f>0.712*E539</f>
        <v>56.68</v>
      </c>
      <c r="F540" s="113">
        <v>0</v>
      </c>
      <c r="G540" s="15"/>
      <c r="H540" s="33">
        <f t="shared" ref="H540:H545" si="47">E540*F540</f>
        <v>0</v>
      </c>
      <c r="I540" s="15"/>
      <c r="J540" s="1"/>
      <c r="K540" s="1"/>
      <c r="P540" s="1"/>
      <c r="Q540" s="1"/>
      <c r="R540" s="1"/>
      <c r="S540" s="1"/>
    </row>
    <row r="541" spans="1:19" x14ac:dyDescent="0.25">
      <c r="A541" s="29" t="s">
        <v>90</v>
      </c>
      <c r="B541" s="205" t="s">
        <v>13</v>
      </c>
      <c r="C541" s="180" t="s">
        <v>160</v>
      </c>
      <c r="D541" s="20" t="s">
        <v>58</v>
      </c>
      <c r="E541" s="20">
        <v>1.8</v>
      </c>
      <c r="F541" s="113">
        <v>0</v>
      </c>
      <c r="G541" s="15"/>
      <c r="H541" s="33">
        <f t="shared" si="47"/>
        <v>0</v>
      </c>
      <c r="I541" s="15"/>
      <c r="J541" s="1"/>
      <c r="K541" s="1">
        <f>0.8*E541</f>
        <v>1.44</v>
      </c>
      <c r="P541" s="1"/>
      <c r="Q541" s="1"/>
      <c r="R541" s="1"/>
      <c r="S541" s="1"/>
    </row>
    <row r="542" spans="1:19" x14ac:dyDescent="0.25">
      <c r="A542" s="29" t="s">
        <v>91</v>
      </c>
      <c r="B542" s="205" t="s">
        <v>13</v>
      </c>
      <c r="C542" s="180" t="s">
        <v>161</v>
      </c>
      <c r="D542" s="20" t="s">
        <v>58</v>
      </c>
      <c r="E542" s="20">
        <v>96.2</v>
      </c>
      <c r="F542" s="113">
        <v>0</v>
      </c>
      <c r="G542" s="15"/>
      <c r="H542" s="33">
        <f t="shared" si="47"/>
        <v>0</v>
      </c>
      <c r="I542" s="15"/>
      <c r="J542" s="1"/>
      <c r="K542" s="1">
        <f>0.8*96.2</f>
        <v>76.959999999999994</v>
      </c>
      <c r="P542" s="1"/>
      <c r="Q542" s="1"/>
      <c r="R542" s="1"/>
      <c r="S542" s="1"/>
    </row>
    <row r="543" spans="1:19" ht="14.25" customHeight="1" x14ac:dyDescent="0.25">
      <c r="A543" s="29" t="s">
        <v>400</v>
      </c>
      <c r="B543" s="205" t="s">
        <v>13</v>
      </c>
      <c r="C543" s="180" t="s">
        <v>162</v>
      </c>
      <c r="D543" s="20" t="s">
        <v>14</v>
      </c>
      <c r="E543" s="20">
        <v>2</v>
      </c>
      <c r="F543" s="113">
        <v>0</v>
      </c>
      <c r="G543" s="15"/>
      <c r="H543" s="33">
        <f t="shared" si="47"/>
        <v>0</v>
      </c>
      <c r="I543" s="15"/>
      <c r="J543" s="1"/>
      <c r="K543" s="1">
        <f>0.13*E543</f>
        <v>0.26</v>
      </c>
      <c r="P543" s="1"/>
      <c r="Q543" s="1"/>
      <c r="R543" s="1"/>
      <c r="S543" s="1"/>
    </row>
    <row r="544" spans="1:19" ht="14.25" customHeight="1" x14ac:dyDescent="0.25">
      <c r="A544" s="29" t="s">
        <v>401</v>
      </c>
      <c r="B544" s="205" t="s">
        <v>13</v>
      </c>
      <c r="C544" s="180" t="s">
        <v>171</v>
      </c>
      <c r="D544" s="20" t="s">
        <v>14</v>
      </c>
      <c r="E544" s="20">
        <v>2</v>
      </c>
      <c r="F544" s="113">
        <v>0</v>
      </c>
      <c r="G544" s="15"/>
      <c r="H544" s="33">
        <f t="shared" si="47"/>
        <v>0</v>
      </c>
      <c r="I544" s="15"/>
      <c r="J544" s="1"/>
      <c r="K544" s="1">
        <f>0.08*E544</f>
        <v>0.16</v>
      </c>
      <c r="P544" s="1"/>
      <c r="Q544" s="1"/>
      <c r="R544" s="1"/>
      <c r="S544" s="1"/>
    </row>
    <row r="545" spans="1:19" ht="35.25" customHeight="1" x14ac:dyDescent="0.25">
      <c r="A545" s="29" t="s">
        <v>402</v>
      </c>
      <c r="B545" s="205" t="s">
        <v>13</v>
      </c>
      <c r="C545" s="180" t="s">
        <v>164</v>
      </c>
      <c r="D545" s="20" t="s">
        <v>14</v>
      </c>
      <c r="E545" s="20">
        <v>2</v>
      </c>
      <c r="F545" s="113">
        <v>0</v>
      </c>
      <c r="G545" s="15"/>
      <c r="H545" s="33">
        <f t="shared" si="47"/>
        <v>0</v>
      </c>
      <c r="I545" s="15"/>
      <c r="J545" s="1"/>
      <c r="K545" s="1">
        <f>0.39*E545</f>
        <v>0.78</v>
      </c>
      <c r="P545" s="1"/>
      <c r="Q545" s="1"/>
      <c r="R545" s="1"/>
      <c r="S545" s="1"/>
    </row>
    <row r="546" spans="1:19" ht="52.5" customHeight="1" x14ac:dyDescent="0.25">
      <c r="A546" s="26" t="s">
        <v>92</v>
      </c>
      <c r="B546" s="228" t="s">
        <v>9</v>
      </c>
      <c r="C546" s="178" t="s">
        <v>166</v>
      </c>
      <c r="D546" s="19" t="s">
        <v>54</v>
      </c>
      <c r="E546" s="19">
        <v>430.84</v>
      </c>
      <c r="F546" s="103"/>
      <c r="G546" s="58">
        <v>0</v>
      </c>
      <c r="H546" s="28"/>
      <c r="I546" s="58">
        <f>E546*G546</f>
        <v>0</v>
      </c>
      <c r="J546" s="1"/>
      <c r="K546" s="1">
        <f>K548+K549+K550+K551+K552+K553+K554+K555+K556+K557+K558+K559</f>
        <v>430.84</v>
      </c>
      <c r="P546" s="1"/>
      <c r="Q546" s="1"/>
      <c r="R546" s="1"/>
      <c r="S546" s="1"/>
    </row>
    <row r="547" spans="1:19" ht="14.25" customHeight="1" x14ac:dyDescent="0.25">
      <c r="A547" s="29" t="s">
        <v>93</v>
      </c>
      <c r="B547" s="205" t="s">
        <v>13</v>
      </c>
      <c r="C547" s="77" t="s">
        <v>55</v>
      </c>
      <c r="D547" s="20" t="s">
        <v>38</v>
      </c>
      <c r="E547" s="76">
        <f>1.22*E546</f>
        <v>525.62</v>
      </c>
      <c r="F547" s="113">
        <v>0</v>
      </c>
      <c r="G547" s="15"/>
      <c r="H547" s="33">
        <f t="shared" ref="H547:H559" si="48">E547*F547</f>
        <v>0</v>
      </c>
      <c r="I547" s="15"/>
      <c r="J547" s="1"/>
      <c r="K547" s="1"/>
      <c r="P547" s="1"/>
      <c r="Q547" s="1"/>
      <c r="R547" s="1"/>
      <c r="S547" s="1"/>
    </row>
    <row r="548" spans="1:19" ht="27.75" customHeight="1" x14ac:dyDescent="0.25">
      <c r="A548" s="29" t="s">
        <v>94</v>
      </c>
      <c r="B548" s="205" t="s">
        <v>13</v>
      </c>
      <c r="C548" s="77" t="s">
        <v>167</v>
      </c>
      <c r="D548" s="20" t="s">
        <v>58</v>
      </c>
      <c r="E548" s="20">
        <v>96.3</v>
      </c>
      <c r="F548" s="113">
        <v>0</v>
      </c>
      <c r="G548" s="15"/>
      <c r="H548" s="33">
        <f t="shared" si="48"/>
        <v>0</v>
      </c>
      <c r="I548" s="15"/>
      <c r="J548" s="1"/>
      <c r="K548" s="1">
        <f>1.3*E548</f>
        <v>125.19</v>
      </c>
      <c r="P548" s="1"/>
      <c r="Q548" s="1"/>
      <c r="R548" s="1"/>
      <c r="S548" s="1"/>
    </row>
    <row r="549" spans="1:19" x14ac:dyDescent="0.25">
      <c r="A549" s="29" t="s">
        <v>95</v>
      </c>
      <c r="B549" s="205" t="s">
        <v>13</v>
      </c>
      <c r="C549" s="77" t="s">
        <v>168</v>
      </c>
      <c r="D549" s="20" t="s">
        <v>58</v>
      </c>
      <c r="E549" s="20">
        <v>193.2</v>
      </c>
      <c r="F549" s="113">
        <v>0</v>
      </c>
      <c r="G549" s="15"/>
      <c r="H549" s="33">
        <f t="shared" si="48"/>
        <v>0</v>
      </c>
      <c r="I549" s="15"/>
      <c r="J549" s="1"/>
      <c r="K549" s="1">
        <f>1.5*E549</f>
        <v>289.8</v>
      </c>
      <c r="P549" s="1"/>
      <c r="Q549" s="1"/>
      <c r="R549" s="1"/>
      <c r="S549" s="1"/>
    </row>
    <row r="550" spans="1:19" ht="14.25" customHeight="1" x14ac:dyDescent="0.25">
      <c r="A550" s="29" t="s">
        <v>408</v>
      </c>
      <c r="B550" s="205" t="s">
        <v>13</v>
      </c>
      <c r="C550" s="77" t="s">
        <v>169</v>
      </c>
      <c r="D550" s="20" t="s">
        <v>58</v>
      </c>
      <c r="E550" s="20">
        <v>2.6</v>
      </c>
      <c r="F550" s="113">
        <v>0</v>
      </c>
      <c r="G550" s="15"/>
      <c r="H550" s="33">
        <f t="shared" si="48"/>
        <v>0</v>
      </c>
      <c r="I550" s="15"/>
      <c r="J550" s="1"/>
      <c r="K550" s="1">
        <f>1.3*E550</f>
        <v>3.38</v>
      </c>
      <c r="P550" s="1"/>
      <c r="Q550" s="1"/>
      <c r="R550" s="1"/>
      <c r="S550" s="1"/>
    </row>
    <row r="551" spans="1:19" ht="14.25" customHeight="1" x14ac:dyDescent="0.25">
      <c r="A551" s="29" t="s">
        <v>409</v>
      </c>
      <c r="B551" s="205" t="s">
        <v>13</v>
      </c>
      <c r="C551" s="77" t="s">
        <v>170</v>
      </c>
      <c r="D551" s="20" t="s">
        <v>58</v>
      </c>
      <c r="E551" s="20">
        <v>1.3</v>
      </c>
      <c r="F551" s="113">
        <v>0</v>
      </c>
      <c r="G551" s="15"/>
      <c r="H551" s="33">
        <f t="shared" si="48"/>
        <v>0</v>
      </c>
      <c r="I551" s="15"/>
      <c r="J551" s="1"/>
      <c r="K551" s="1">
        <f>1.5*E551</f>
        <v>1.95</v>
      </c>
      <c r="P551" s="1"/>
      <c r="Q551" s="1"/>
      <c r="R551" s="1"/>
      <c r="S551" s="1"/>
    </row>
    <row r="552" spans="1:19" ht="14.25" customHeight="1" x14ac:dyDescent="0.25">
      <c r="A552" s="29" t="s">
        <v>410</v>
      </c>
      <c r="B552" s="205" t="s">
        <v>13</v>
      </c>
      <c r="C552" s="77" t="s">
        <v>174</v>
      </c>
      <c r="D552" s="20" t="s">
        <v>14</v>
      </c>
      <c r="E552" s="20">
        <v>1</v>
      </c>
      <c r="F552" s="113">
        <v>0</v>
      </c>
      <c r="G552" s="15"/>
      <c r="H552" s="33">
        <f t="shared" si="48"/>
        <v>0</v>
      </c>
      <c r="I552" s="15"/>
      <c r="J552" s="1"/>
      <c r="K552" s="1">
        <f>0.46*E552</f>
        <v>0.46</v>
      </c>
      <c r="P552" s="1"/>
      <c r="Q552" s="1"/>
      <c r="R552" s="1"/>
      <c r="S552" s="1"/>
    </row>
    <row r="553" spans="1:19" ht="14.25" customHeight="1" x14ac:dyDescent="0.25">
      <c r="A553" s="29" t="s">
        <v>411</v>
      </c>
      <c r="B553" s="205" t="s">
        <v>13</v>
      </c>
      <c r="C553" s="77" t="s">
        <v>176</v>
      </c>
      <c r="D553" s="20" t="s">
        <v>14</v>
      </c>
      <c r="E553" s="20">
        <v>4</v>
      </c>
      <c r="F553" s="113">
        <v>0</v>
      </c>
      <c r="G553" s="15"/>
      <c r="H553" s="33">
        <f t="shared" si="48"/>
        <v>0</v>
      </c>
      <c r="I553" s="15"/>
      <c r="J553" s="1"/>
      <c r="K553" s="1">
        <f>0.53*E553</f>
        <v>2.12</v>
      </c>
      <c r="P553" s="1"/>
      <c r="Q553" s="1"/>
      <c r="R553" s="1"/>
      <c r="S553" s="1"/>
    </row>
    <row r="554" spans="1:19" ht="14.25" customHeight="1" x14ac:dyDescent="0.25">
      <c r="A554" s="29" t="s">
        <v>430</v>
      </c>
      <c r="B554" s="205" t="s">
        <v>13</v>
      </c>
      <c r="C554" s="77" t="s">
        <v>314</v>
      </c>
      <c r="D554" s="20" t="s">
        <v>14</v>
      </c>
      <c r="E554" s="20">
        <v>2</v>
      </c>
      <c r="F554" s="113">
        <v>0</v>
      </c>
      <c r="G554" s="15"/>
      <c r="H554" s="33">
        <f t="shared" si="48"/>
        <v>0</v>
      </c>
      <c r="I554" s="15"/>
      <c r="J554" s="1"/>
      <c r="K554" s="1">
        <f>0.17*E554</f>
        <v>0.34</v>
      </c>
      <c r="P554" s="1"/>
      <c r="Q554" s="1"/>
      <c r="R554" s="1"/>
      <c r="S554" s="1"/>
    </row>
    <row r="555" spans="1:19" ht="14.25" customHeight="1" x14ac:dyDescent="0.25">
      <c r="A555" s="29" t="s">
        <v>431</v>
      </c>
      <c r="B555" s="205" t="s">
        <v>13</v>
      </c>
      <c r="C555" s="77" t="s">
        <v>315</v>
      </c>
      <c r="D555" s="20" t="s">
        <v>14</v>
      </c>
      <c r="E555" s="20">
        <v>4</v>
      </c>
      <c r="F555" s="113">
        <v>0</v>
      </c>
      <c r="G555" s="15"/>
      <c r="H555" s="33">
        <f t="shared" si="48"/>
        <v>0</v>
      </c>
      <c r="I555" s="15"/>
      <c r="J555" s="1"/>
      <c r="K555" s="1">
        <f>0.2*E555</f>
        <v>0.8</v>
      </c>
      <c r="P555" s="1"/>
      <c r="Q555" s="1"/>
      <c r="R555" s="1"/>
      <c r="S555" s="1"/>
    </row>
    <row r="556" spans="1:19" ht="14.25" customHeight="1" x14ac:dyDescent="0.25">
      <c r="A556" s="29" t="s">
        <v>432</v>
      </c>
      <c r="B556" s="205" t="s">
        <v>13</v>
      </c>
      <c r="C556" s="77" t="s">
        <v>177</v>
      </c>
      <c r="D556" s="20" t="s">
        <v>14</v>
      </c>
      <c r="E556" s="20">
        <v>2</v>
      </c>
      <c r="F556" s="113">
        <v>0</v>
      </c>
      <c r="G556" s="15"/>
      <c r="H556" s="33">
        <f t="shared" si="48"/>
        <v>0</v>
      </c>
      <c r="I556" s="15"/>
      <c r="J556" s="1"/>
      <c r="K556" s="1">
        <f>0.64*E556</f>
        <v>1.28</v>
      </c>
      <c r="P556" s="1"/>
      <c r="Q556" s="1"/>
      <c r="R556" s="1"/>
      <c r="S556" s="1"/>
    </row>
    <row r="557" spans="1:19" ht="14.25" customHeight="1" x14ac:dyDescent="0.25">
      <c r="A557" s="29" t="s">
        <v>433</v>
      </c>
      <c r="B557" s="205" t="s">
        <v>13</v>
      </c>
      <c r="C557" s="77" t="s">
        <v>178</v>
      </c>
      <c r="D557" s="20" t="s">
        <v>14</v>
      </c>
      <c r="E557" s="20">
        <v>5</v>
      </c>
      <c r="F557" s="113">
        <v>0</v>
      </c>
      <c r="G557" s="15"/>
      <c r="H557" s="33">
        <f t="shared" si="48"/>
        <v>0</v>
      </c>
      <c r="I557" s="15"/>
      <c r="J557" s="1"/>
      <c r="K557" s="1">
        <f>0.74*E557</f>
        <v>3.7</v>
      </c>
      <c r="P557" s="1"/>
      <c r="Q557" s="1"/>
      <c r="R557" s="1"/>
      <c r="S557" s="1"/>
    </row>
    <row r="558" spans="1:19" ht="14.25" customHeight="1" x14ac:dyDescent="0.25">
      <c r="A558" s="29" t="s">
        <v>434</v>
      </c>
      <c r="B558" s="205" t="s">
        <v>13</v>
      </c>
      <c r="C558" s="77" t="s">
        <v>308</v>
      </c>
      <c r="D558" s="20" t="s">
        <v>14</v>
      </c>
      <c r="E558" s="20">
        <v>1</v>
      </c>
      <c r="F558" s="113">
        <v>0</v>
      </c>
      <c r="G558" s="15"/>
      <c r="H558" s="33">
        <f t="shared" si="48"/>
        <v>0</v>
      </c>
      <c r="I558" s="15"/>
      <c r="J558" s="1"/>
      <c r="K558" s="1">
        <f>0.79*E558</f>
        <v>0.79</v>
      </c>
      <c r="P558" s="1"/>
      <c r="Q558" s="1"/>
      <c r="R558" s="1"/>
      <c r="S558" s="1"/>
    </row>
    <row r="559" spans="1:19" ht="14.25" customHeight="1" x14ac:dyDescent="0.25">
      <c r="A559" s="29" t="s">
        <v>435</v>
      </c>
      <c r="B559" s="205" t="s">
        <v>13</v>
      </c>
      <c r="C559" s="77" t="s">
        <v>179</v>
      </c>
      <c r="D559" s="20" t="s">
        <v>14</v>
      </c>
      <c r="E559" s="20">
        <v>1</v>
      </c>
      <c r="F559" s="113">
        <v>0</v>
      </c>
      <c r="G559" s="15"/>
      <c r="H559" s="33">
        <f t="shared" si="48"/>
        <v>0</v>
      </c>
      <c r="I559" s="15"/>
      <c r="J559" s="1"/>
      <c r="K559" s="1">
        <f>1.03*E559</f>
        <v>1.03</v>
      </c>
      <c r="P559" s="1"/>
      <c r="Q559" s="1"/>
      <c r="R559" s="1"/>
      <c r="S559" s="1"/>
    </row>
    <row r="560" spans="1:19" ht="50.25" customHeight="1" x14ac:dyDescent="0.25">
      <c r="A560" s="26" t="s">
        <v>96</v>
      </c>
      <c r="B560" s="228" t="s">
        <v>9</v>
      </c>
      <c r="C560" s="178" t="s">
        <v>180</v>
      </c>
      <c r="D560" s="19" t="s">
        <v>54</v>
      </c>
      <c r="E560" s="19">
        <v>97.94</v>
      </c>
      <c r="F560" s="103"/>
      <c r="G560" s="58">
        <v>0</v>
      </c>
      <c r="H560" s="28"/>
      <c r="I560" s="58">
        <f>E560*G560</f>
        <v>0</v>
      </c>
      <c r="J560" s="1"/>
      <c r="K560" s="1">
        <f>K562+K563+K564+K565+K566+K567+K568+K569</f>
        <v>97.94</v>
      </c>
      <c r="P560" s="1"/>
      <c r="Q560" s="1"/>
      <c r="R560" s="1"/>
      <c r="S560" s="1"/>
    </row>
    <row r="561" spans="1:19" ht="14.25" customHeight="1" x14ac:dyDescent="0.25">
      <c r="A561" s="29" t="s">
        <v>97</v>
      </c>
      <c r="B561" s="240" t="s">
        <v>13</v>
      </c>
      <c r="C561" s="77" t="s">
        <v>55</v>
      </c>
      <c r="D561" s="20" t="s">
        <v>38</v>
      </c>
      <c r="E561" s="76">
        <f>2.25*E560</f>
        <v>220.37</v>
      </c>
      <c r="F561" s="113">
        <v>0</v>
      </c>
      <c r="G561" s="15"/>
      <c r="H561" s="33">
        <f>F561*E561</f>
        <v>0</v>
      </c>
      <c r="I561" s="15"/>
      <c r="J561" s="1"/>
      <c r="K561" s="1"/>
      <c r="P561" s="1"/>
      <c r="Q561" s="1"/>
      <c r="R561" s="1"/>
      <c r="S561" s="1"/>
    </row>
    <row r="562" spans="1:19" ht="14.25" customHeight="1" x14ac:dyDescent="0.25">
      <c r="A562" s="29" t="s">
        <v>98</v>
      </c>
      <c r="B562" s="240" t="s">
        <v>13</v>
      </c>
      <c r="C562" s="77" t="s">
        <v>601</v>
      </c>
      <c r="D562" s="20" t="s">
        <v>58</v>
      </c>
      <c r="E562" s="76">
        <v>48.3</v>
      </c>
      <c r="F562" s="113">
        <v>0</v>
      </c>
      <c r="G562" s="15"/>
      <c r="H562" s="33">
        <f>E562*F562</f>
        <v>0</v>
      </c>
      <c r="I562" s="15"/>
      <c r="J562" s="1"/>
      <c r="K562" s="1">
        <f>1.8*E562</f>
        <v>86.94</v>
      </c>
      <c r="P562" s="1"/>
      <c r="Q562" s="1"/>
      <c r="R562" s="1"/>
      <c r="S562" s="1"/>
    </row>
    <row r="563" spans="1:19" ht="14.25" customHeight="1" x14ac:dyDescent="0.25">
      <c r="A563" s="29" t="s">
        <v>414</v>
      </c>
      <c r="B563" s="205" t="s">
        <v>13</v>
      </c>
      <c r="C563" s="77" t="s">
        <v>182</v>
      </c>
      <c r="D563" s="20" t="s">
        <v>58</v>
      </c>
      <c r="E563" s="20">
        <v>2.5</v>
      </c>
      <c r="F563" s="113">
        <v>0</v>
      </c>
      <c r="G563" s="15"/>
      <c r="H563" s="33">
        <f t="shared" ref="H563:H569" si="49">F563*E563</f>
        <v>0</v>
      </c>
      <c r="I563" s="15"/>
      <c r="J563" s="1"/>
      <c r="K563" s="1">
        <f>2*E563</f>
        <v>5</v>
      </c>
      <c r="P563" s="1"/>
      <c r="Q563" s="1"/>
      <c r="R563" s="1"/>
      <c r="S563" s="1"/>
    </row>
    <row r="564" spans="1:19" ht="14.25" customHeight="1" x14ac:dyDescent="0.25">
      <c r="A564" s="29" t="s">
        <v>412</v>
      </c>
      <c r="B564" s="205" t="s">
        <v>13</v>
      </c>
      <c r="C564" s="77" t="s">
        <v>602</v>
      </c>
      <c r="D564" s="20" t="s">
        <v>58</v>
      </c>
      <c r="E564" s="20">
        <v>1.2</v>
      </c>
      <c r="F564" s="113">
        <v>0</v>
      </c>
      <c r="G564" s="15"/>
      <c r="H564" s="33">
        <f t="shared" si="49"/>
        <v>0</v>
      </c>
      <c r="I564" s="15"/>
      <c r="J564" s="1"/>
      <c r="K564" s="1">
        <f>2.2*E564</f>
        <v>2.64</v>
      </c>
      <c r="P564" s="1"/>
      <c r="Q564" s="1"/>
      <c r="R564" s="1"/>
      <c r="S564" s="1"/>
    </row>
    <row r="565" spans="1:19" ht="14.25" customHeight="1" x14ac:dyDescent="0.25">
      <c r="A565" s="29" t="s">
        <v>413</v>
      </c>
      <c r="B565" s="205" t="s">
        <v>13</v>
      </c>
      <c r="C565" s="77" t="s">
        <v>310</v>
      </c>
      <c r="D565" s="20" t="s">
        <v>14</v>
      </c>
      <c r="E565" s="175">
        <v>1</v>
      </c>
      <c r="F565" s="113">
        <v>0</v>
      </c>
      <c r="G565" s="15"/>
      <c r="H565" s="33">
        <f t="shared" si="49"/>
        <v>0</v>
      </c>
      <c r="I565" s="15"/>
      <c r="J565" s="1"/>
      <c r="K565" s="1">
        <f>0.27*E565</f>
        <v>0.27</v>
      </c>
      <c r="P565" s="1"/>
      <c r="Q565" s="1"/>
      <c r="R565" s="1"/>
      <c r="S565" s="1"/>
    </row>
    <row r="566" spans="1:19" ht="14.25" customHeight="1" x14ac:dyDescent="0.25">
      <c r="A566" s="29" t="s">
        <v>436</v>
      </c>
      <c r="B566" s="205" t="s">
        <v>13</v>
      </c>
      <c r="C566" s="77" t="s">
        <v>603</v>
      </c>
      <c r="D566" s="20" t="s">
        <v>14</v>
      </c>
      <c r="E566" s="20">
        <v>2</v>
      </c>
      <c r="F566" s="113">
        <v>0</v>
      </c>
      <c r="G566" s="15"/>
      <c r="H566" s="33">
        <f t="shared" si="49"/>
        <v>0</v>
      </c>
      <c r="I566" s="15"/>
      <c r="J566" s="1"/>
      <c r="K566" s="1">
        <f>0.78*E566</f>
        <v>1.56</v>
      </c>
      <c r="P566" s="1"/>
      <c r="Q566" s="1"/>
      <c r="R566" s="1"/>
      <c r="S566" s="1"/>
    </row>
    <row r="567" spans="1:19" ht="14.25" customHeight="1" x14ac:dyDescent="0.25">
      <c r="A567" s="29" t="s">
        <v>612</v>
      </c>
      <c r="B567" s="205" t="s">
        <v>13</v>
      </c>
      <c r="C567" s="77" t="s">
        <v>604</v>
      </c>
      <c r="D567" s="20" t="s">
        <v>14</v>
      </c>
      <c r="E567" s="20">
        <v>1</v>
      </c>
      <c r="F567" s="113">
        <v>0</v>
      </c>
      <c r="G567" s="15"/>
      <c r="H567" s="33">
        <f t="shared" si="49"/>
        <v>0</v>
      </c>
      <c r="I567" s="15"/>
      <c r="J567" s="1"/>
      <c r="K567" s="1">
        <f>0.96*E567</f>
        <v>0.96</v>
      </c>
      <c r="P567" s="1"/>
      <c r="Q567" s="1"/>
      <c r="R567" s="1"/>
      <c r="S567" s="1"/>
    </row>
    <row r="568" spans="1:19" ht="14.25" customHeight="1" x14ac:dyDescent="0.25">
      <c r="A568" s="29" t="s">
        <v>613</v>
      </c>
      <c r="B568" s="205" t="s">
        <v>13</v>
      </c>
      <c r="C568" s="77" t="s">
        <v>605</v>
      </c>
      <c r="D568" s="20" t="s">
        <v>14</v>
      </c>
      <c r="E568" s="20">
        <v>1</v>
      </c>
      <c r="F568" s="113">
        <v>0</v>
      </c>
      <c r="G568" s="15"/>
      <c r="H568" s="33">
        <f t="shared" si="49"/>
        <v>0</v>
      </c>
      <c r="I568" s="15"/>
      <c r="J568" s="1"/>
      <c r="K568" s="1">
        <f>0.31*E569</f>
        <v>0.31</v>
      </c>
      <c r="P568" s="1"/>
      <c r="Q568" s="1"/>
      <c r="R568" s="1"/>
      <c r="S568" s="1"/>
    </row>
    <row r="569" spans="1:19" ht="14.25" customHeight="1" x14ac:dyDescent="0.25">
      <c r="A569" s="29" t="s">
        <v>776</v>
      </c>
      <c r="B569" s="205" t="s">
        <v>13</v>
      </c>
      <c r="C569" s="77" t="s">
        <v>606</v>
      </c>
      <c r="D569" s="20" t="s">
        <v>14</v>
      </c>
      <c r="E569" s="20">
        <v>1</v>
      </c>
      <c r="F569" s="113">
        <v>0</v>
      </c>
      <c r="G569" s="15"/>
      <c r="H569" s="33">
        <f t="shared" si="49"/>
        <v>0</v>
      </c>
      <c r="I569" s="15"/>
      <c r="J569" s="1"/>
      <c r="K569" s="1">
        <f>0.26*E569</f>
        <v>0.26</v>
      </c>
      <c r="P569" s="1"/>
      <c r="Q569" s="1"/>
      <c r="R569" s="1"/>
      <c r="S569" s="1"/>
    </row>
    <row r="570" spans="1:19" ht="48.75" customHeight="1" x14ac:dyDescent="0.25">
      <c r="A570" s="26" t="s">
        <v>99</v>
      </c>
      <c r="B570" s="228" t="s">
        <v>9</v>
      </c>
      <c r="C570" s="17" t="s">
        <v>285</v>
      </c>
      <c r="D570" s="19" t="s">
        <v>54</v>
      </c>
      <c r="E570" s="19">
        <v>17.329999999999998</v>
      </c>
      <c r="F570" s="113"/>
      <c r="G570" s="58">
        <v>0</v>
      </c>
      <c r="H570" s="33"/>
      <c r="I570" s="58">
        <f>E570*G570</f>
        <v>0</v>
      </c>
      <c r="J570" s="1"/>
      <c r="K570" s="1">
        <f>K572+K573+K574+K575+K576+K577+K578</f>
        <v>17.329999999999998</v>
      </c>
      <c r="P570" s="1"/>
      <c r="Q570" s="1"/>
      <c r="R570" s="1"/>
      <c r="S570" s="1"/>
    </row>
    <row r="571" spans="1:19" ht="14.25" customHeight="1" x14ac:dyDescent="0.25">
      <c r="A571" s="29" t="s">
        <v>100</v>
      </c>
      <c r="B571" s="205" t="s">
        <v>13</v>
      </c>
      <c r="C571" s="11" t="s">
        <v>55</v>
      </c>
      <c r="D571" s="20" t="s">
        <v>38</v>
      </c>
      <c r="E571" s="76">
        <f>2.25*E570</f>
        <v>38.99</v>
      </c>
      <c r="F571" s="113">
        <v>0</v>
      </c>
      <c r="G571" s="15"/>
      <c r="H571" s="33">
        <f t="shared" ref="H571:H578" si="50">E571*F571</f>
        <v>0</v>
      </c>
      <c r="I571" s="15"/>
      <c r="J571" s="1"/>
      <c r="K571" s="1"/>
      <c r="P571" s="1"/>
      <c r="Q571" s="1"/>
      <c r="R571" s="1"/>
      <c r="S571" s="1"/>
    </row>
    <row r="572" spans="1:19" ht="29.25" customHeight="1" x14ac:dyDescent="0.25">
      <c r="A572" s="29" t="s">
        <v>101</v>
      </c>
      <c r="B572" s="205" t="s">
        <v>13</v>
      </c>
      <c r="C572" s="11" t="s">
        <v>590</v>
      </c>
      <c r="D572" s="20" t="s">
        <v>58</v>
      </c>
      <c r="E572" s="20">
        <v>4</v>
      </c>
      <c r="F572" s="113">
        <v>0</v>
      </c>
      <c r="G572" s="15"/>
      <c r="H572" s="33">
        <f t="shared" si="50"/>
        <v>0</v>
      </c>
      <c r="I572" s="15"/>
      <c r="J572" s="1"/>
      <c r="K572" s="1">
        <f>2.6*E572</f>
        <v>10.4</v>
      </c>
      <c r="P572" s="1"/>
      <c r="Q572" s="1"/>
      <c r="R572" s="1"/>
      <c r="S572" s="1"/>
    </row>
    <row r="573" spans="1:19" ht="30.75" customHeight="1" x14ac:dyDescent="0.25">
      <c r="A573" s="29" t="s">
        <v>102</v>
      </c>
      <c r="B573" s="205" t="s">
        <v>13</v>
      </c>
      <c r="C573" s="11" t="s">
        <v>185</v>
      </c>
      <c r="D573" s="20" t="s">
        <v>58</v>
      </c>
      <c r="E573" s="20">
        <v>1.2</v>
      </c>
      <c r="F573" s="113">
        <v>0</v>
      </c>
      <c r="G573" s="15"/>
      <c r="H573" s="33">
        <f t="shared" si="50"/>
        <v>0</v>
      </c>
      <c r="I573" s="15"/>
      <c r="J573" s="1"/>
      <c r="K573" s="1">
        <f>2.8*E573</f>
        <v>3.36</v>
      </c>
      <c r="P573" s="1"/>
      <c r="Q573" s="1"/>
      <c r="R573" s="1"/>
      <c r="S573" s="1"/>
    </row>
    <row r="574" spans="1:19" x14ac:dyDescent="0.25">
      <c r="A574" s="29" t="s">
        <v>103</v>
      </c>
      <c r="B574" s="205" t="s">
        <v>13</v>
      </c>
      <c r="C574" s="11" t="s">
        <v>607</v>
      </c>
      <c r="D574" s="20" t="s">
        <v>14</v>
      </c>
      <c r="E574" s="20">
        <v>1</v>
      </c>
      <c r="F574" s="113">
        <v>0</v>
      </c>
      <c r="G574" s="15"/>
      <c r="H574" s="33">
        <f t="shared" si="50"/>
        <v>0</v>
      </c>
      <c r="I574" s="15"/>
      <c r="J574" s="1"/>
      <c r="K574" s="1">
        <f>1.17</f>
        <v>1.17</v>
      </c>
      <c r="P574" s="1"/>
      <c r="Q574" s="1"/>
      <c r="R574" s="1"/>
      <c r="S574" s="1"/>
    </row>
    <row r="575" spans="1:19" ht="14.25" customHeight="1" x14ac:dyDescent="0.25">
      <c r="A575" s="29" t="s">
        <v>104</v>
      </c>
      <c r="B575" s="205" t="s">
        <v>13</v>
      </c>
      <c r="C575" s="11" t="s">
        <v>608</v>
      </c>
      <c r="D575" s="20" t="s">
        <v>14</v>
      </c>
      <c r="E575" s="20">
        <v>1</v>
      </c>
      <c r="F575" s="113">
        <v>0</v>
      </c>
      <c r="G575" s="15"/>
      <c r="H575" s="33">
        <f t="shared" si="50"/>
        <v>0</v>
      </c>
      <c r="I575" s="15"/>
      <c r="J575" s="1"/>
      <c r="K575" s="1">
        <f>1.26</f>
        <v>1.26</v>
      </c>
      <c r="P575" s="1"/>
      <c r="Q575" s="1"/>
      <c r="R575" s="1"/>
      <c r="S575" s="1"/>
    </row>
    <row r="576" spans="1:19" ht="14.25" customHeight="1" x14ac:dyDescent="0.25">
      <c r="A576" s="29" t="s">
        <v>451</v>
      </c>
      <c r="B576" s="205" t="s">
        <v>13</v>
      </c>
      <c r="C576" s="11" t="s">
        <v>609</v>
      </c>
      <c r="D576" s="20" t="s">
        <v>14</v>
      </c>
      <c r="E576" s="20">
        <v>1</v>
      </c>
      <c r="F576" s="113">
        <v>0</v>
      </c>
      <c r="G576" s="15"/>
      <c r="H576" s="33">
        <f t="shared" si="50"/>
        <v>0</v>
      </c>
      <c r="I576" s="15"/>
      <c r="J576" s="1"/>
      <c r="K576" s="1">
        <f>0.39</f>
        <v>0.39</v>
      </c>
      <c r="P576" s="1"/>
      <c r="Q576" s="1"/>
      <c r="R576" s="1"/>
      <c r="S576" s="1"/>
    </row>
    <row r="577" spans="1:19" ht="14.25" customHeight="1" x14ac:dyDescent="0.25">
      <c r="A577" s="29" t="s">
        <v>452</v>
      </c>
      <c r="B577" s="205" t="s">
        <v>13</v>
      </c>
      <c r="C577" s="11" t="s">
        <v>610</v>
      </c>
      <c r="D577" s="20" t="s">
        <v>14</v>
      </c>
      <c r="E577" s="20">
        <v>1</v>
      </c>
      <c r="F577" s="113">
        <v>0</v>
      </c>
      <c r="G577" s="15"/>
      <c r="H577" s="33">
        <f t="shared" si="50"/>
        <v>0</v>
      </c>
      <c r="I577" s="15"/>
      <c r="J577" s="1"/>
      <c r="K577" s="1">
        <v>0.4</v>
      </c>
      <c r="P577" s="1"/>
      <c r="Q577" s="1"/>
      <c r="R577" s="1"/>
      <c r="S577" s="1"/>
    </row>
    <row r="578" spans="1:19" ht="14.25" customHeight="1" x14ac:dyDescent="0.25">
      <c r="A578" s="29" t="s">
        <v>779</v>
      </c>
      <c r="B578" s="205" t="s">
        <v>13</v>
      </c>
      <c r="C578" s="77" t="s">
        <v>611</v>
      </c>
      <c r="D578" s="20" t="s">
        <v>14</v>
      </c>
      <c r="E578" s="20">
        <v>1</v>
      </c>
      <c r="F578" s="113">
        <v>0</v>
      </c>
      <c r="G578" s="15"/>
      <c r="H578" s="33">
        <f t="shared" si="50"/>
        <v>0</v>
      </c>
      <c r="I578" s="15"/>
      <c r="J578" s="1"/>
      <c r="K578" s="1">
        <v>0.35</v>
      </c>
      <c r="P578" s="1"/>
      <c r="Q578" s="1"/>
      <c r="R578" s="1"/>
      <c r="S578" s="1"/>
    </row>
    <row r="579" spans="1:19" ht="51.75" customHeight="1" x14ac:dyDescent="0.25">
      <c r="A579" s="26" t="s">
        <v>105</v>
      </c>
      <c r="B579" s="228" t="s">
        <v>9</v>
      </c>
      <c r="C579" s="17" t="s">
        <v>594</v>
      </c>
      <c r="D579" s="19" t="s">
        <v>54</v>
      </c>
      <c r="E579" s="19">
        <v>14.66</v>
      </c>
      <c r="F579" s="113"/>
      <c r="G579" s="58">
        <v>0</v>
      </c>
      <c r="H579" s="33"/>
      <c r="I579" s="58">
        <f>E579*G579</f>
        <v>0</v>
      </c>
      <c r="J579" s="1"/>
      <c r="K579" s="1"/>
      <c r="P579" s="1"/>
      <c r="Q579" s="1"/>
      <c r="R579" s="1"/>
      <c r="S579" s="1"/>
    </row>
    <row r="580" spans="1:19" ht="14.25" customHeight="1" x14ac:dyDescent="0.25">
      <c r="A580" s="29" t="s">
        <v>149</v>
      </c>
      <c r="B580" s="205" t="s">
        <v>13</v>
      </c>
      <c r="C580" s="11" t="s">
        <v>55</v>
      </c>
      <c r="D580" s="20" t="s">
        <v>38</v>
      </c>
      <c r="E580" s="76">
        <f>2.25*E579</f>
        <v>32.99</v>
      </c>
      <c r="F580" s="113">
        <v>0</v>
      </c>
      <c r="G580" s="15"/>
      <c r="H580" s="33">
        <f t="shared" ref="H580:H585" si="51">E580*F580</f>
        <v>0</v>
      </c>
      <c r="I580" s="15"/>
      <c r="J580" s="1"/>
      <c r="K580" s="1"/>
      <c r="P580" s="1"/>
      <c r="Q580" s="1"/>
      <c r="R580" s="1"/>
      <c r="S580" s="1"/>
    </row>
    <row r="581" spans="1:19" ht="26.25" customHeight="1" x14ac:dyDescent="0.25">
      <c r="A581" s="29" t="s">
        <v>139</v>
      </c>
      <c r="B581" s="205" t="s">
        <v>13</v>
      </c>
      <c r="C581" s="11" t="s">
        <v>595</v>
      </c>
      <c r="D581" s="20" t="s">
        <v>58</v>
      </c>
      <c r="E581" s="76">
        <v>0.7</v>
      </c>
      <c r="F581" s="113">
        <v>0</v>
      </c>
      <c r="G581" s="15"/>
      <c r="H581" s="33">
        <f t="shared" si="51"/>
        <v>0</v>
      </c>
      <c r="I581" s="15"/>
      <c r="J581" s="1"/>
      <c r="K581" s="1">
        <f>3.6*E581</f>
        <v>2.52</v>
      </c>
      <c r="P581" s="1"/>
      <c r="Q581" s="1"/>
      <c r="R581" s="1"/>
      <c r="S581" s="1"/>
    </row>
    <row r="582" spans="1:19" ht="32.25" customHeight="1" x14ac:dyDescent="0.25">
      <c r="A582" s="29" t="s">
        <v>140</v>
      </c>
      <c r="B582" s="205" t="s">
        <v>13</v>
      </c>
      <c r="C582" s="11" t="s">
        <v>596</v>
      </c>
      <c r="D582" s="20" t="s">
        <v>58</v>
      </c>
      <c r="E582" s="20">
        <v>1.9</v>
      </c>
      <c r="F582" s="113">
        <v>0</v>
      </c>
      <c r="G582" s="15"/>
      <c r="H582" s="33">
        <f t="shared" si="51"/>
        <v>0</v>
      </c>
      <c r="I582" s="15"/>
      <c r="J582" s="1"/>
      <c r="K582" s="1">
        <f>3.6*E582</f>
        <v>6.84</v>
      </c>
      <c r="P582" s="1"/>
      <c r="Q582" s="1"/>
      <c r="R582" s="1"/>
      <c r="S582" s="1"/>
    </row>
    <row r="583" spans="1:19" ht="14.25" customHeight="1" x14ac:dyDescent="0.25">
      <c r="A583" s="29" t="s">
        <v>141</v>
      </c>
      <c r="B583" s="205" t="s">
        <v>13</v>
      </c>
      <c r="C583" s="11" t="s">
        <v>598</v>
      </c>
      <c r="D583" s="20" t="s">
        <v>14</v>
      </c>
      <c r="E583" s="20">
        <v>1</v>
      </c>
      <c r="F583" s="113">
        <v>0</v>
      </c>
      <c r="G583" s="15"/>
      <c r="H583" s="33">
        <f t="shared" si="51"/>
        <v>0</v>
      </c>
      <c r="I583" s="15"/>
      <c r="J583" s="1"/>
      <c r="K583" s="1">
        <f>0.99*E583</f>
        <v>0.99</v>
      </c>
      <c r="P583" s="1"/>
      <c r="Q583" s="1"/>
      <c r="R583" s="1"/>
      <c r="S583" s="1"/>
    </row>
    <row r="584" spans="1:19" ht="27.75" customHeight="1" x14ac:dyDescent="0.25">
      <c r="A584" s="29" t="s">
        <v>453</v>
      </c>
      <c r="B584" s="205" t="s">
        <v>13</v>
      </c>
      <c r="C584" s="11" t="s">
        <v>614</v>
      </c>
      <c r="D584" s="20" t="s">
        <v>14</v>
      </c>
      <c r="E584" s="20">
        <v>1</v>
      </c>
      <c r="F584" s="113">
        <v>0</v>
      </c>
      <c r="G584" s="15"/>
      <c r="H584" s="33">
        <f t="shared" si="51"/>
        <v>0</v>
      </c>
      <c r="I584" s="15"/>
      <c r="J584" s="1"/>
      <c r="K584" s="1">
        <f>3.33*E584</f>
        <v>3.33</v>
      </c>
      <c r="P584" s="1"/>
      <c r="Q584" s="1"/>
      <c r="R584" s="1"/>
      <c r="S584" s="1"/>
    </row>
    <row r="585" spans="1:19" ht="14.25" customHeight="1" x14ac:dyDescent="0.25">
      <c r="A585" s="29" t="s">
        <v>831</v>
      </c>
      <c r="B585" s="205" t="s">
        <v>13</v>
      </c>
      <c r="C585" s="77" t="s">
        <v>597</v>
      </c>
      <c r="D585" s="20" t="s">
        <v>14</v>
      </c>
      <c r="E585" s="20">
        <v>1</v>
      </c>
      <c r="F585" s="113">
        <v>0</v>
      </c>
      <c r="G585" s="15"/>
      <c r="H585" s="33">
        <f t="shared" si="51"/>
        <v>0</v>
      </c>
      <c r="I585" s="15"/>
      <c r="J585" s="1"/>
      <c r="K585" s="1">
        <f>0.98*E585</f>
        <v>0.98</v>
      </c>
      <c r="P585" s="1"/>
      <c r="Q585" s="1"/>
      <c r="R585" s="1"/>
      <c r="S585" s="1"/>
    </row>
    <row r="586" spans="1:19" ht="47.25" customHeight="1" x14ac:dyDescent="0.25">
      <c r="A586" s="26" t="s">
        <v>108</v>
      </c>
      <c r="B586" s="228" t="s">
        <v>189</v>
      </c>
      <c r="C586" s="17" t="s">
        <v>48</v>
      </c>
      <c r="D586" s="19" t="s">
        <v>14</v>
      </c>
      <c r="E586" s="19">
        <v>8</v>
      </c>
      <c r="F586" s="103"/>
      <c r="G586" s="58">
        <v>0</v>
      </c>
      <c r="H586" s="28"/>
      <c r="I586" s="58">
        <f>E586*G586</f>
        <v>0</v>
      </c>
      <c r="J586" s="1"/>
      <c r="K586" s="1"/>
      <c r="P586" s="1"/>
      <c r="Q586" s="1"/>
      <c r="R586" s="1"/>
      <c r="S586" s="1"/>
    </row>
    <row r="587" spans="1:19" ht="38.25" customHeight="1" x14ac:dyDescent="0.25">
      <c r="A587" s="29" t="s">
        <v>106</v>
      </c>
      <c r="B587" s="205" t="s">
        <v>13</v>
      </c>
      <c r="C587" s="11" t="s">
        <v>186</v>
      </c>
      <c r="D587" s="20" t="s">
        <v>14</v>
      </c>
      <c r="E587" s="175">
        <v>2</v>
      </c>
      <c r="F587" s="113">
        <v>0</v>
      </c>
      <c r="G587" s="15"/>
      <c r="H587" s="33">
        <f>E587*F587</f>
        <v>0</v>
      </c>
      <c r="I587" s="15"/>
      <c r="J587" s="1"/>
      <c r="K587" s="1"/>
      <c r="P587" s="1"/>
      <c r="Q587" s="1"/>
      <c r="R587" s="1"/>
      <c r="S587" s="1"/>
    </row>
    <row r="588" spans="1:19" ht="27" customHeight="1" x14ac:dyDescent="0.25">
      <c r="A588" s="29" t="s">
        <v>107</v>
      </c>
      <c r="B588" s="205" t="s">
        <v>13</v>
      </c>
      <c r="C588" s="55" t="s">
        <v>187</v>
      </c>
      <c r="D588" s="94" t="s">
        <v>14</v>
      </c>
      <c r="E588" s="288">
        <v>2</v>
      </c>
      <c r="F588" s="120">
        <v>0</v>
      </c>
      <c r="G588" s="127"/>
      <c r="H588" s="186">
        <f>E588*F588</f>
        <v>0</v>
      </c>
      <c r="I588" s="127"/>
      <c r="J588" s="1"/>
      <c r="K588" s="1"/>
      <c r="P588" s="1"/>
      <c r="Q588" s="1"/>
      <c r="R588" s="1"/>
      <c r="S588" s="1"/>
    </row>
    <row r="589" spans="1:19" ht="27.75" customHeight="1" x14ac:dyDescent="0.25">
      <c r="A589" s="29" t="s">
        <v>785</v>
      </c>
      <c r="B589" s="205" t="s">
        <v>13</v>
      </c>
      <c r="C589" s="55" t="s">
        <v>188</v>
      </c>
      <c r="D589" s="94" t="s">
        <v>14</v>
      </c>
      <c r="E589" s="20">
        <v>4</v>
      </c>
      <c r="F589" s="113">
        <v>0</v>
      </c>
      <c r="G589" s="15"/>
      <c r="H589" s="33">
        <f>E589*F589</f>
        <v>0</v>
      </c>
      <c r="I589" s="15"/>
      <c r="J589" s="1"/>
      <c r="K589" s="1"/>
      <c r="P589" s="1"/>
      <c r="Q589" s="1"/>
      <c r="R589" s="1"/>
      <c r="S589" s="1"/>
    </row>
    <row r="590" spans="1:19" ht="27.75" customHeight="1" x14ac:dyDescent="0.25">
      <c r="A590" s="26" t="s">
        <v>109</v>
      </c>
      <c r="B590" s="228" t="s">
        <v>189</v>
      </c>
      <c r="C590" s="17" t="s">
        <v>52</v>
      </c>
      <c r="D590" s="19" t="s">
        <v>14</v>
      </c>
      <c r="E590" s="19">
        <v>1</v>
      </c>
      <c r="F590" s="103"/>
      <c r="G590" s="58">
        <v>0</v>
      </c>
      <c r="H590" s="28"/>
      <c r="I590" s="58">
        <f>E590*G590</f>
        <v>0</v>
      </c>
      <c r="J590" s="1"/>
      <c r="K590" s="1"/>
      <c r="P590" s="1"/>
      <c r="Q590" s="1"/>
      <c r="R590" s="1"/>
      <c r="S590" s="1"/>
    </row>
    <row r="591" spans="1:19" ht="27.75" customHeight="1" x14ac:dyDescent="0.25">
      <c r="A591" s="29" t="s">
        <v>110</v>
      </c>
      <c r="B591" s="205" t="s">
        <v>13</v>
      </c>
      <c r="C591" s="11" t="s">
        <v>311</v>
      </c>
      <c r="D591" s="20" t="s">
        <v>14</v>
      </c>
      <c r="E591" s="175">
        <v>1</v>
      </c>
      <c r="F591" s="113">
        <v>0</v>
      </c>
      <c r="G591" s="15"/>
      <c r="H591" s="33">
        <f>E591*F591</f>
        <v>0</v>
      </c>
      <c r="I591" s="15"/>
      <c r="J591" s="1"/>
      <c r="K591" s="1"/>
      <c r="P591" s="1"/>
      <c r="Q591" s="1"/>
      <c r="R591" s="1"/>
      <c r="S591" s="1"/>
    </row>
    <row r="592" spans="1:19" ht="25.5" customHeight="1" x14ac:dyDescent="0.25">
      <c r="A592" s="26" t="s">
        <v>112</v>
      </c>
      <c r="B592" s="239" t="s">
        <v>9</v>
      </c>
      <c r="C592" s="17" t="s">
        <v>137</v>
      </c>
      <c r="D592" s="19" t="s">
        <v>14</v>
      </c>
      <c r="E592" s="19">
        <v>136</v>
      </c>
      <c r="F592" s="28"/>
      <c r="G592" s="58">
        <v>0</v>
      </c>
      <c r="H592" s="28"/>
      <c r="I592" s="58">
        <f>E592*G592</f>
        <v>0</v>
      </c>
      <c r="J592" s="1"/>
      <c r="K592" s="1"/>
      <c r="P592" s="1"/>
      <c r="Q592" s="1"/>
      <c r="R592" s="1"/>
      <c r="S592" s="1"/>
    </row>
    <row r="593" spans="1:19" ht="14.25" customHeight="1" x14ac:dyDescent="0.25">
      <c r="A593" s="29" t="s">
        <v>113</v>
      </c>
      <c r="B593" s="205" t="s">
        <v>13</v>
      </c>
      <c r="C593" s="11" t="s">
        <v>191</v>
      </c>
      <c r="D593" s="20" t="s">
        <v>14</v>
      </c>
      <c r="E593" s="20">
        <v>136</v>
      </c>
      <c r="F593" s="113">
        <v>0</v>
      </c>
      <c r="G593" s="58"/>
      <c r="H593" s="186">
        <f t="shared" ref="H593:H595" si="52">E593*F593</f>
        <v>0</v>
      </c>
      <c r="I593" s="58"/>
      <c r="J593" s="1"/>
      <c r="K593" s="1"/>
      <c r="P593" s="1"/>
      <c r="Q593" s="1"/>
      <c r="R593" s="1"/>
      <c r="S593" s="1"/>
    </row>
    <row r="594" spans="1:19" ht="37.5" customHeight="1" x14ac:dyDescent="0.25">
      <c r="A594" s="26" t="s">
        <v>115</v>
      </c>
      <c r="B594" s="239" t="s">
        <v>9</v>
      </c>
      <c r="C594" s="17" t="s">
        <v>502</v>
      </c>
      <c r="D594" s="19" t="s">
        <v>14</v>
      </c>
      <c r="E594" s="19">
        <v>119</v>
      </c>
      <c r="F594" s="28"/>
      <c r="G594" s="58">
        <v>0</v>
      </c>
      <c r="H594" s="28"/>
      <c r="I594" s="58">
        <f>E594*G594</f>
        <v>0</v>
      </c>
      <c r="J594" s="1"/>
      <c r="K594" s="1"/>
      <c r="P594" s="1"/>
      <c r="Q594" s="1"/>
      <c r="R594" s="1"/>
      <c r="S594" s="1"/>
    </row>
    <row r="595" spans="1:19" ht="14.25" customHeight="1" x14ac:dyDescent="0.25">
      <c r="A595" s="129" t="s">
        <v>116</v>
      </c>
      <c r="B595" s="205" t="s">
        <v>13</v>
      </c>
      <c r="C595" s="11" t="s">
        <v>190</v>
      </c>
      <c r="D595" s="20" t="s">
        <v>14</v>
      </c>
      <c r="E595" s="20">
        <v>119</v>
      </c>
      <c r="F595" s="113">
        <v>0</v>
      </c>
      <c r="G595" s="15"/>
      <c r="H595" s="186">
        <f t="shared" si="52"/>
        <v>0</v>
      </c>
      <c r="I595" s="15"/>
      <c r="J595" s="1"/>
      <c r="K595" s="1"/>
      <c r="P595" s="1"/>
      <c r="Q595" s="1"/>
      <c r="R595" s="1"/>
      <c r="S595" s="1"/>
    </row>
    <row r="596" spans="1:19" ht="33.75" customHeight="1" x14ac:dyDescent="0.25">
      <c r="A596" s="251">
        <v>26</v>
      </c>
      <c r="B596" s="239" t="s">
        <v>9</v>
      </c>
      <c r="C596" s="17" t="s">
        <v>615</v>
      </c>
      <c r="D596" s="19" t="s">
        <v>14</v>
      </c>
      <c r="E596" s="19">
        <v>1</v>
      </c>
      <c r="F596" s="103"/>
      <c r="G596" s="58">
        <v>0</v>
      </c>
      <c r="H596" s="28"/>
      <c r="I596" s="58">
        <f>E596*G596</f>
        <v>0</v>
      </c>
      <c r="J596" s="1"/>
      <c r="K596" s="1"/>
      <c r="P596" s="1"/>
      <c r="Q596" s="1"/>
      <c r="R596" s="1"/>
      <c r="S596" s="1"/>
    </row>
    <row r="597" spans="1:19" x14ac:dyDescent="0.25">
      <c r="A597" s="29" t="s">
        <v>119</v>
      </c>
      <c r="B597" s="205" t="s">
        <v>13</v>
      </c>
      <c r="C597" s="11" t="s">
        <v>616</v>
      </c>
      <c r="D597" s="20" t="s">
        <v>14</v>
      </c>
      <c r="E597" s="20">
        <v>1</v>
      </c>
      <c r="F597" s="113">
        <v>0</v>
      </c>
      <c r="G597" s="15"/>
      <c r="H597" s="33">
        <f>E597*F597</f>
        <v>0</v>
      </c>
      <c r="I597" s="15"/>
      <c r="J597" s="1"/>
      <c r="K597" s="1"/>
      <c r="P597" s="1"/>
      <c r="Q597" s="1"/>
      <c r="R597" s="1"/>
      <c r="S597" s="1"/>
    </row>
    <row r="598" spans="1:19" ht="30.75" customHeight="1" x14ac:dyDescent="0.25">
      <c r="A598" s="173" t="s">
        <v>832</v>
      </c>
      <c r="B598" s="252" t="s">
        <v>9</v>
      </c>
      <c r="C598" s="17" t="s">
        <v>803</v>
      </c>
      <c r="D598" s="19" t="s">
        <v>472</v>
      </c>
      <c r="E598" s="19">
        <v>5</v>
      </c>
      <c r="F598" s="103"/>
      <c r="G598" s="58">
        <v>0</v>
      </c>
      <c r="H598" s="28"/>
      <c r="I598" s="58">
        <f>E598*G598</f>
        <v>0</v>
      </c>
      <c r="J598" s="1"/>
      <c r="K598" s="1"/>
      <c r="P598" s="1"/>
      <c r="Q598" s="1"/>
      <c r="R598" s="1"/>
      <c r="S598" s="1"/>
    </row>
    <row r="599" spans="1:19" ht="41.25" customHeight="1" x14ac:dyDescent="0.25">
      <c r="A599" s="173" t="s">
        <v>122</v>
      </c>
      <c r="B599" s="234" t="s">
        <v>9</v>
      </c>
      <c r="C599" s="17" t="s">
        <v>211</v>
      </c>
      <c r="D599" s="19" t="s">
        <v>54</v>
      </c>
      <c r="E599" s="18">
        <v>846.4</v>
      </c>
      <c r="F599" s="103"/>
      <c r="G599" s="58">
        <v>0</v>
      </c>
      <c r="H599" s="28"/>
      <c r="I599" s="58">
        <f>E599*G599</f>
        <v>0</v>
      </c>
      <c r="J599" s="1"/>
      <c r="K599" s="1"/>
      <c r="P599" s="1"/>
      <c r="Q599" s="1"/>
      <c r="R599" s="1"/>
      <c r="S599" s="1"/>
    </row>
    <row r="600" spans="1:19" ht="14.25" customHeight="1" x14ac:dyDescent="0.25">
      <c r="A600" s="29" t="s">
        <v>123</v>
      </c>
      <c r="B600" s="220" t="s">
        <v>13</v>
      </c>
      <c r="C600" s="188" t="s">
        <v>209</v>
      </c>
      <c r="D600" s="90" t="s">
        <v>54</v>
      </c>
      <c r="E600" s="12">
        <f>1.1*E599</f>
        <v>931.04</v>
      </c>
      <c r="F600" s="113">
        <v>0</v>
      </c>
      <c r="G600" s="15"/>
      <c r="H600" s="33">
        <f>E600*F600</f>
        <v>0</v>
      </c>
      <c r="I600" s="15"/>
      <c r="J600" s="1"/>
      <c r="K600" s="1"/>
      <c r="P600" s="1"/>
      <c r="Q600" s="1"/>
      <c r="R600" s="1"/>
      <c r="S600" s="1"/>
    </row>
    <row r="601" spans="1:19" ht="24" customHeight="1" x14ac:dyDescent="0.25">
      <c r="A601" s="29" t="s">
        <v>124</v>
      </c>
      <c r="B601" s="220" t="s">
        <v>13</v>
      </c>
      <c r="C601" s="77" t="s">
        <v>266</v>
      </c>
      <c r="D601" s="20" t="s">
        <v>38</v>
      </c>
      <c r="E601" s="12">
        <f>0.7*E599</f>
        <v>592.48</v>
      </c>
      <c r="F601" s="113">
        <v>0</v>
      </c>
      <c r="G601" s="15"/>
      <c r="H601" s="33">
        <f>E601*F601</f>
        <v>0</v>
      </c>
      <c r="I601" s="15"/>
      <c r="J601" s="1"/>
      <c r="K601" s="1"/>
      <c r="P601" s="1"/>
      <c r="Q601" s="1"/>
      <c r="R601" s="1"/>
      <c r="S601" s="1"/>
    </row>
    <row r="602" spans="1:19" ht="19.5" customHeight="1" x14ac:dyDescent="0.25">
      <c r="A602" s="173" t="s">
        <v>125</v>
      </c>
      <c r="B602" s="252" t="s">
        <v>9</v>
      </c>
      <c r="C602" s="250" t="s">
        <v>202</v>
      </c>
      <c r="D602" s="88" t="s">
        <v>54</v>
      </c>
      <c r="E602" s="88">
        <v>7.6</v>
      </c>
      <c r="F602" s="143"/>
      <c r="G602" s="65">
        <v>0</v>
      </c>
      <c r="H602" s="150"/>
      <c r="I602" s="65">
        <f>E602*G602</f>
        <v>0</v>
      </c>
      <c r="J602" s="1"/>
      <c r="K602" s="1"/>
      <c r="P602" s="1"/>
      <c r="Q602" s="1"/>
      <c r="R602" s="1"/>
      <c r="S602" s="1"/>
    </row>
    <row r="603" spans="1:19" ht="24" customHeight="1" x14ac:dyDescent="0.25">
      <c r="A603" s="130" t="s">
        <v>126</v>
      </c>
      <c r="B603" s="206" t="s">
        <v>13</v>
      </c>
      <c r="C603" s="188" t="s">
        <v>203</v>
      </c>
      <c r="D603" s="90" t="s">
        <v>54</v>
      </c>
      <c r="E603" s="90">
        <v>7.6</v>
      </c>
      <c r="F603" s="126">
        <v>0</v>
      </c>
      <c r="G603" s="119"/>
      <c r="H603" s="62">
        <f>E603*F603</f>
        <v>0</v>
      </c>
      <c r="I603" s="119"/>
      <c r="J603" s="1"/>
      <c r="K603" s="1"/>
      <c r="P603" s="1"/>
      <c r="Q603" s="1"/>
      <c r="R603" s="1"/>
      <c r="S603" s="1"/>
    </row>
    <row r="604" spans="1:19" ht="33" customHeight="1" thickBot="1" x14ac:dyDescent="0.3">
      <c r="A604" s="129" t="s">
        <v>791</v>
      </c>
      <c r="B604" s="240" t="s">
        <v>13</v>
      </c>
      <c r="C604" s="55" t="s">
        <v>204</v>
      </c>
      <c r="D604" s="94" t="s">
        <v>54</v>
      </c>
      <c r="E604" s="94">
        <v>7.6</v>
      </c>
      <c r="F604" s="111">
        <v>0</v>
      </c>
      <c r="G604" s="44"/>
      <c r="H604" s="186">
        <f>E604*F604</f>
        <v>0</v>
      </c>
      <c r="I604" s="15"/>
      <c r="J604" s="1"/>
      <c r="K604" s="1"/>
      <c r="P604" s="1"/>
      <c r="Q604" s="1"/>
      <c r="R604" s="1"/>
      <c r="S604" s="1"/>
    </row>
    <row r="605" spans="1:19" ht="14.25" customHeight="1" thickBot="1" x14ac:dyDescent="0.3">
      <c r="A605" s="38"/>
      <c r="B605" s="235"/>
      <c r="C605" s="5" t="s">
        <v>44</v>
      </c>
      <c r="D605" s="40"/>
      <c r="E605" s="41"/>
      <c r="F605" s="8"/>
      <c r="G605" s="7"/>
      <c r="H605" s="8">
        <f>SUM(H528:H604)</f>
        <v>0</v>
      </c>
      <c r="I605" s="42">
        <f>SUM(I527:I604)</f>
        <v>0</v>
      </c>
      <c r="J605" s="1"/>
      <c r="K605" s="1"/>
      <c r="P605" s="1"/>
      <c r="Q605" s="1"/>
      <c r="R605" s="1"/>
      <c r="S605" s="1"/>
    </row>
    <row r="606" spans="1:19" ht="14.25" customHeight="1" thickBot="1" x14ac:dyDescent="0.3">
      <c r="A606" s="45"/>
      <c r="B606" s="242"/>
      <c r="C606" s="47" t="s">
        <v>617</v>
      </c>
      <c r="D606" s="48"/>
      <c r="E606" s="49"/>
      <c r="F606" s="50"/>
      <c r="G606" s="51"/>
      <c r="H606" s="50"/>
      <c r="I606" s="52"/>
      <c r="J606" s="1"/>
      <c r="K606" s="1"/>
      <c r="P606" s="1"/>
      <c r="Q606" s="1"/>
      <c r="R606" s="1"/>
      <c r="S606" s="1"/>
    </row>
    <row r="607" spans="1:19" ht="14.25" customHeight="1" x14ac:dyDescent="0.25">
      <c r="A607" s="257" t="s">
        <v>127</v>
      </c>
      <c r="B607" s="258" t="s">
        <v>9</v>
      </c>
      <c r="C607" s="149" t="s">
        <v>20</v>
      </c>
      <c r="D607" s="139" t="s">
        <v>14</v>
      </c>
      <c r="E607" s="139">
        <v>30</v>
      </c>
      <c r="F607" s="143"/>
      <c r="G607" s="146">
        <v>0</v>
      </c>
      <c r="H607" s="143"/>
      <c r="I607" s="65">
        <f>E607*G607</f>
        <v>0</v>
      </c>
      <c r="J607" s="1"/>
      <c r="K607" s="1"/>
      <c r="P607" s="1"/>
      <c r="Q607" s="1"/>
      <c r="R607" s="1"/>
      <c r="S607" s="1"/>
    </row>
    <row r="608" spans="1:19" ht="14.25" customHeight="1" x14ac:dyDescent="0.25">
      <c r="A608" s="93" t="s">
        <v>128</v>
      </c>
      <c r="B608" s="247" t="s">
        <v>13</v>
      </c>
      <c r="C608" s="124" t="s">
        <v>205</v>
      </c>
      <c r="D608" s="12" t="s">
        <v>14</v>
      </c>
      <c r="E608" s="12">
        <v>30</v>
      </c>
      <c r="F608" s="33">
        <v>0</v>
      </c>
      <c r="G608" s="102"/>
      <c r="H608" s="113">
        <f>E608*F608</f>
        <v>0</v>
      </c>
      <c r="I608" s="15"/>
      <c r="J608" s="1"/>
      <c r="K608" s="1"/>
      <c r="P608" s="1"/>
      <c r="Q608" s="1"/>
      <c r="R608" s="1"/>
      <c r="S608" s="1"/>
    </row>
    <row r="609" spans="1:19" ht="14.25" customHeight="1" x14ac:dyDescent="0.25">
      <c r="A609" s="93" t="s">
        <v>792</v>
      </c>
      <c r="B609" s="247" t="s">
        <v>13</v>
      </c>
      <c r="C609" s="73" t="s">
        <v>206</v>
      </c>
      <c r="D609" s="12" t="s">
        <v>14</v>
      </c>
      <c r="E609" s="12">
        <v>30</v>
      </c>
      <c r="F609" s="33">
        <v>0</v>
      </c>
      <c r="G609" s="102"/>
      <c r="H609" s="113">
        <f>E609*F609</f>
        <v>0</v>
      </c>
      <c r="I609" s="15"/>
      <c r="J609" s="1"/>
      <c r="K609" s="1"/>
      <c r="P609" s="1"/>
      <c r="Q609" s="1"/>
      <c r="R609" s="1"/>
      <c r="S609" s="1"/>
    </row>
    <row r="610" spans="1:19" ht="44.25" customHeight="1" x14ac:dyDescent="0.25">
      <c r="A610" s="95" t="s">
        <v>129</v>
      </c>
      <c r="B610" s="259" t="s">
        <v>9</v>
      </c>
      <c r="C610" s="74" t="s">
        <v>53</v>
      </c>
      <c r="D610" s="18" t="s">
        <v>54</v>
      </c>
      <c r="E610" s="18">
        <v>34.69</v>
      </c>
      <c r="F610" s="28"/>
      <c r="G610" s="117">
        <v>0</v>
      </c>
      <c r="H610" s="103"/>
      <c r="I610" s="58">
        <f>E610*G610</f>
        <v>0</v>
      </c>
      <c r="J610" s="1"/>
      <c r="K610" s="1"/>
      <c r="L610" s="292"/>
      <c r="P610" s="1"/>
      <c r="Q610" s="1"/>
      <c r="R610" s="1"/>
      <c r="S610" s="1"/>
    </row>
    <row r="611" spans="1:19" ht="14.25" customHeight="1" x14ac:dyDescent="0.25">
      <c r="A611" s="29" t="s">
        <v>130</v>
      </c>
      <c r="B611" s="205" t="s">
        <v>13</v>
      </c>
      <c r="C611" s="70" t="s">
        <v>55</v>
      </c>
      <c r="D611" s="71" t="s">
        <v>38</v>
      </c>
      <c r="E611" s="72">
        <f>0.606*E610</f>
        <v>21.02</v>
      </c>
      <c r="F611" s="33">
        <v>0</v>
      </c>
      <c r="G611" s="15"/>
      <c r="H611" s="33">
        <f t="shared" ref="H611:H615" si="53">E611*F611</f>
        <v>0</v>
      </c>
      <c r="I611" s="15"/>
      <c r="J611" s="1"/>
      <c r="K611" s="1"/>
      <c r="P611" s="1"/>
      <c r="Q611" s="1"/>
      <c r="R611" s="1"/>
      <c r="S611" s="1"/>
    </row>
    <row r="612" spans="1:19" ht="27.75" customHeight="1" x14ac:dyDescent="0.25">
      <c r="A612" s="93" t="s">
        <v>144</v>
      </c>
      <c r="B612" s="247" t="s">
        <v>13</v>
      </c>
      <c r="C612" s="124" t="s">
        <v>207</v>
      </c>
      <c r="D612" s="12" t="s">
        <v>58</v>
      </c>
      <c r="E612" s="12">
        <v>27.6</v>
      </c>
      <c r="F612" s="33">
        <v>0</v>
      </c>
      <c r="G612" s="102"/>
      <c r="H612" s="113">
        <f t="shared" si="53"/>
        <v>0</v>
      </c>
      <c r="I612" s="15"/>
      <c r="J612" s="1"/>
      <c r="K612" s="1">
        <v>8.67</v>
      </c>
      <c r="P612" s="1"/>
      <c r="Q612" s="1"/>
      <c r="R612" s="1"/>
      <c r="S612" s="1"/>
    </row>
    <row r="613" spans="1:19" ht="26.25" customHeight="1" x14ac:dyDescent="0.25">
      <c r="A613" s="29" t="s">
        <v>145</v>
      </c>
      <c r="B613" s="247" t="s">
        <v>13</v>
      </c>
      <c r="C613" s="124" t="s">
        <v>208</v>
      </c>
      <c r="D613" s="12" t="s">
        <v>58</v>
      </c>
      <c r="E613" s="12">
        <v>59.9</v>
      </c>
      <c r="F613" s="33">
        <v>0</v>
      </c>
      <c r="G613" s="102"/>
      <c r="H613" s="113">
        <f t="shared" si="53"/>
        <v>0</v>
      </c>
      <c r="I613" s="15"/>
      <c r="J613" s="1"/>
      <c r="K613" s="1">
        <v>18.82</v>
      </c>
      <c r="P613" s="1"/>
      <c r="Q613" s="1"/>
      <c r="R613" s="1"/>
      <c r="S613" s="1"/>
    </row>
    <row r="614" spans="1:19" x14ac:dyDescent="0.25">
      <c r="A614" s="93" t="s">
        <v>146</v>
      </c>
      <c r="B614" s="247" t="s">
        <v>13</v>
      </c>
      <c r="C614" s="124" t="s">
        <v>442</v>
      </c>
      <c r="D614" s="12" t="s">
        <v>14</v>
      </c>
      <c r="E614" s="12">
        <v>42</v>
      </c>
      <c r="F614" s="33">
        <v>0</v>
      </c>
      <c r="G614" s="102"/>
      <c r="H614" s="113">
        <f t="shared" si="53"/>
        <v>0</v>
      </c>
      <c r="I614" s="15"/>
      <c r="J614" s="1"/>
      <c r="K614" s="1">
        <f>0.1*E614</f>
        <v>4.2</v>
      </c>
      <c r="P614" s="1"/>
      <c r="Q614" s="1"/>
      <c r="R614" s="1"/>
      <c r="S614" s="1"/>
    </row>
    <row r="615" spans="1:19" x14ac:dyDescent="0.25">
      <c r="A615" s="29" t="s">
        <v>147</v>
      </c>
      <c r="B615" s="247" t="s">
        <v>13</v>
      </c>
      <c r="C615" s="124" t="s">
        <v>441</v>
      </c>
      <c r="D615" s="12" t="s">
        <v>14</v>
      </c>
      <c r="E615" s="12">
        <v>30</v>
      </c>
      <c r="F615" s="33">
        <v>0</v>
      </c>
      <c r="G615" s="102"/>
      <c r="H615" s="113">
        <f t="shared" si="53"/>
        <v>0</v>
      </c>
      <c r="I615" s="15"/>
      <c r="J615" s="1"/>
      <c r="K615" s="1">
        <f>0.1*E615</f>
        <v>3</v>
      </c>
      <c r="P615" s="1"/>
      <c r="Q615" s="1"/>
      <c r="R615" s="1"/>
      <c r="S615" s="1"/>
    </row>
    <row r="616" spans="1:19" ht="35.25" customHeight="1" x14ac:dyDescent="0.25">
      <c r="A616" s="95" t="s">
        <v>793</v>
      </c>
      <c r="B616" s="259" t="s">
        <v>9</v>
      </c>
      <c r="C616" s="17" t="s">
        <v>211</v>
      </c>
      <c r="D616" s="19" t="s">
        <v>54</v>
      </c>
      <c r="E616" s="18">
        <v>21</v>
      </c>
      <c r="F616" s="28"/>
      <c r="G616" s="117">
        <v>0</v>
      </c>
      <c r="H616" s="103"/>
      <c r="I616" s="58">
        <f>E616*G616</f>
        <v>0</v>
      </c>
      <c r="J616" s="1"/>
      <c r="K616" s="1"/>
      <c r="P616" s="1"/>
      <c r="Q616" s="1"/>
      <c r="R616" s="1"/>
      <c r="S616" s="1"/>
    </row>
    <row r="617" spans="1:19" ht="14.25" customHeight="1" x14ac:dyDescent="0.25">
      <c r="A617" s="93" t="s">
        <v>131</v>
      </c>
      <c r="B617" s="247" t="s">
        <v>13</v>
      </c>
      <c r="C617" s="188" t="s">
        <v>209</v>
      </c>
      <c r="D617" s="90" t="s">
        <v>54</v>
      </c>
      <c r="E617" s="12">
        <f>1.1*E616</f>
        <v>23.1</v>
      </c>
      <c r="F617" s="33">
        <v>0</v>
      </c>
      <c r="G617" s="102"/>
      <c r="H617" s="113">
        <f>E617*F617</f>
        <v>0</v>
      </c>
      <c r="I617" s="15"/>
      <c r="J617" s="1"/>
      <c r="K617" s="1"/>
      <c r="P617" s="1"/>
      <c r="Q617" s="1"/>
      <c r="R617" s="1"/>
      <c r="S617" s="1"/>
    </row>
    <row r="618" spans="1:19" ht="14.25" customHeight="1" thickBot="1" x14ac:dyDescent="0.3">
      <c r="A618" s="131" t="s">
        <v>132</v>
      </c>
      <c r="B618" s="248" t="s">
        <v>13</v>
      </c>
      <c r="C618" s="55" t="s">
        <v>210</v>
      </c>
      <c r="D618" s="94" t="s">
        <v>38</v>
      </c>
      <c r="E618" s="141">
        <f>0.7*E616</f>
        <v>14.7</v>
      </c>
      <c r="F618" s="186">
        <v>0</v>
      </c>
      <c r="G618" s="114"/>
      <c r="H618" s="120">
        <f>E618*F618</f>
        <v>0</v>
      </c>
      <c r="I618" s="127"/>
      <c r="J618" s="1"/>
      <c r="K618" s="1"/>
      <c r="P618" s="1"/>
      <c r="Q618" s="1"/>
      <c r="R618" s="1"/>
      <c r="S618" s="1"/>
    </row>
    <row r="619" spans="1:19" ht="14.25" customHeight="1" thickBot="1" x14ac:dyDescent="0.3">
      <c r="A619" s="45"/>
      <c r="B619" s="244"/>
      <c r="C619" s="278" t="s">
        <v>417</v>
      </c>
      <c r="D619" s="48"/>
      <c r="E619" s="48"/>
      <c r="F619" s="99"/>
      <c r="G619" s="109"/>
      <c r="H619" s="121">
        <f>SUM(H607:H618)</f>
        <v>0</v>
      </c>
      <c r="I619" s="86">
        <f>SUM(I607:I618)</f>
        <v>0</v>
      </c>
      <c r="J619" s="1"/>
      <c r="K619" s="1"/>
      <c r="L619" s="292"/>
      <c r="M619" s="292"/>
      <c r="P619" s="1"/>
      <c r="Q619" s="1"/>
      <c r="R619" s="1"/>
      <c r="S619" s="1"/>
    </row>
    <row r="620" spans="1:19" ht="14.25" customHeight="1" thickBot="1" x14ac:dyDescent="0.3">
      <c r="A620" s="181"/>
      <c r="B620" s="243"/>
      <c r="C620" s="290" t="s">
        <v>45</v>
      </c>
      <c r="D620" s="176"/>
      <c r="E620" s="176"/>
      <c r="F620" s="289"/>
      <c r="G620" s="154"/>
      <c r="H620" s="273">
        <f>H450+H525+H605+H619</f>
        <v>0</v>
      </c>
      <c r="I620" s="274">
        <f>I450+I525+I605+I619</f>
        <v>0</v>
      </c>
      <c r="J620" s="1"/>
      <c r="K620" s="1"/>
      <c r="L620" s="292"/>
      <c r="M620" s="292"/>
      <c r="P620" s="1"/>
      <c r="Q620" s="1"/>
      <c r="R620" s="1"/>
      <c r="S620" s="1"/>
    </row>
    <row r="621" spans="1:19" ht="14.25" customHeight="1" thickBot="1" x14ac:dyDescent="0.3">
      <c r="A621" s="181"/>
      <c r="B621" s="243"/>
      <c r="C621" s="290" t="s">
        <v>443</v>
      </c>
      <c r="D621" s="176"/>
      <c r="E621" s="176"/>
      <c r="F621" s="289"/>
      <c r="G621" s="154"/>
      <c r="H621" s="273"/>
      <c r="I621" s="274">
        <f>H620+I620</f>
        <v>0</v>
      </c>
      <c r="J621" s="1"/>
      <c r="K621" s="1"/>
      <c r="P621" s="1"/>
      <c r="Q621" s="1"/>
      <c r="R621" s="1"/>
      <c r="S621" s="1"/>
    </row>
    <row r="622" spans="1:19" ht="14.25" customHeight="1" thickBot="1" x14ac:dyDescent="0.3">
      <c r="A622" s="45"/>
      <c r="B622" s="46" t="s">
        <v>215</v>
      </c>
      <c r="C622" s="145" t="s">
        <v>316</v>
      </c>
      <c r="D622" s="48"/>
      <c r="E622" s="48"/>
      <c r="F622" s="99"/>
      <c r="G622" s="109"/>
      <c r="H622" s="121"/>
      <c r="I622" s="52"/>
      <c r="J622" s="1"/>
      <c r="K622" s="1"/>
      <c r="P622" s="1"/>
      <c r="Q622" s="1"/>
      <c r="R622" s="1"/>
      <c r="S622" s="1"/>
    </row>
    <row r="623" spans="1:19" ht="14.25" customHeight="1" thickBot="1" x14ac:dyDescent="0.3">
      <c r="A623" s="45"/>
      <c r="B623" s="244"/>
      <c r="C623" s="145" t="s">
        <v>619</v>
      </c>
      <c r="D623" s="48"/>
      <c r="E623" s="48"/>
      <c r="F623" s="99"/>
      <c r="G623" s="109"/>
      <c r="H623" s="121"/>
      <c r="I623" s="52"/>
      <c r="J623" s="1"/>
      <c r="K623" s="1"/>
      <c r="P623" s="1"/>
      <c r="Q623" s="1"/>
      <c r="R623" s="1"/>
      <c r="S623" s="1"/>
    </row>
    <row r="624" spans="1:19" ht="40.5" customHeight="1" x14ac:dyDescent="0.25">
      <c r="A624" s="139">
        <v>1</v>
      </c>
      <c r="B624" s="210" t="s">
        <v>9</v>
      </c>
      <c r="C624" s="74" t="s">
        <v>217</v>
      </c>
      <c r="D624" s="88" t="s">
        <v>54</v>
      </c>
      <c r="E624" s="88">
        <f>0.33*2</f>
        <v>0.66</v>
      </c>
      <c r="F624" s="150"/>
      <c r="G624" s="65">
        <v>0</v>
      </c>
      <c r="H624" s="150"/>
      <c r="I624" s="65">
        <f>E624*G624</f>
        <v>0</v>
      </c>
      <c r="J624" s="1"/>
      <c r="K624" s="1"/>
      <c r="P624" s="1"/>
      <c r="Q624" s="1"/>
      <c r="R624" s="1"/>
      <c r="S624" s="1"/>
    </row>
    <row r="625" spans="1:19" ht="14.25" customHeight="1" x14ac:dyDescent="0.25">
      <c r="A625" s="10" t="s">
        <v>12</v>
      </c>
      <c r="B625" s="211" t="s">
        <v>13</v>
      </c>
      <c r="C625" s="11" t="s">
        <v>55</v>
      </c>
      <c r="D625" s="20" t="s">
        <v>38</v>
      </c>
      <c r="E625" s="76">
        <f>1.22*E624</f>
        <v>0.81</v>
      </c>
      <c r="F625" s="33">
        <v>0</v>
      </c>
      <c r="G625" s="15"/>
      <c r="H625" s="33">
        <f t="shared" ref="H625:H626" si="54">E625*F625</f>
        <v>0</v>
      </c>
      <c r="I625" s="15"/>
      <c r="J625" s="1"/>
      <c r="K625" s="1"/>
      <c r="P625" s="1"/>
      <c r="Q625" s="1"/>
      <c r="R625" s="1"/>
      <c r="S625" s="1"/>
    </row>
    <row r="626" spans="1:19" ht="29.25" customHeight="1" x14ac:dyDescent="0.25">
      <c r="A626" s="29" t="s">
        <v>15</v>
      </c>
      <c r="B626" s="205" t="s">
        <v>13</v>
      </c>
      <c r="C626" s="11" t="s">
        <v>216</v>
      </c>
      <c r="D626" s="20" t="s">
        <v>58</v>
      </c>
      <c r="E626" s="20">
        <v>0.6</v>
      </c>
      <c r="F626" s="33">
        <v>0</v>
      </c>
      <c r="G626" s="15"/>
      <c r="H626" s="33">
        <f t="shared" si="54"/>
        <v>0</v>
      </c>
      <c r="I626" s="15"/>
      <c r="J626" s="1"/>
      <c r="K626" s="1"/>
      <c r="P626" s="1"/>
      <c r="Q626" s="1"/>
      <c r="R626" s="1"/>
      <c r="S626" s="1"/>
    </row>
    <row r="627" spans="1:19" ht="40.5" customHeight="1" x14ac:dyDescent="0.25">
      <c r="A627" s="16" t="s">
        <v>16</v>
      </c>
      <c r="B627" s="212" t="s">
        <v>9</v>
      </c>
      <c r="C627" s="295" t="s">
        <v>67</v>
      </c>
      <c r="D627" s="18" t="s">
        <v>14</v>
      </c>
      <c r="E627" s="310">
        <v>2</v>
      </c>
      <c r="F627" s="13"/>
      <c r="G627" s="117">
        <v>0</v>
      </c>
      <c r="H627" s="103"/>
      <c r="I627" s="58">
        <f>E627*G627</f>
        <v>0</v>
      </c>
      <c r="J627" s="1"/>
      <c r="K627" s="1"/>
      <c r="P627" s="1"/>
      <c r="Q627" s="1"/>
      <c r="R627" s="1"/>
      <c r="S627" s="1"/>
    </row>
    <row r="628" spans="1:19" ht="14.25" customHeight="1" x14ac:dyDescent="0.25">
      <c r="A628" s="29" t="s">
        <v>17</v>
      </c>
      <c r="B628" s="211" t="s">
        <v>13</v>
      </c>
      <c r="C628" s="70" t="s">
        <v>218</v>
      </c>
      <c r="D628" s="12" t="s">
        <v>14</v>
      </c>
      <c r="E628" s="12">
        <v>2</v>
      </c>
      <c r="F628" s="14">
        <v>0</v>
      </c>
      <c r="G628" s="102"/>
      <c r="H628" s="113">
        <f>E628*F628</f>
        <v>0</v>
      </c>
      <c r="I628" s="15"/>
      <c r="J628" s="1"/>
      <c r="K628" s="1"/>
      <c r="P628" s="1"/>
      <c r="Q628" s="1"/>
      <c r="R628" s="1"/>
      <c r="S628" s="1"/>
    </row>
    <row r="629" spans="1:19" ht="35.25" customHeight="1" x14ac:dyDescent="0.25">
      <c r="A629" s="16" t="s">
        <v>19</v>
      </c>
      <c r="B629" s="212" t="s">
        <v>9</v>
      </c>
      <c r="C629" s="295" t="s">
        <v>562</v>
      </c>
      <c r="D629" s="18" t="s">
        <v>14</v>
      </c>
      <c r="E629" s="310">
        <v>2</v>
      </c>
      <c r="F629" s="13"/>
      <c r="G629" s="117">
        <v>0</v>
      </c>
      <c r="H629" s="103"/>
      <c r="I629" s="58">
        <f>E629*G629</f>
        <v>0</v>
      </c>
      <c r="J629" s="1"/>
      <c r="K629" s="1"/>
      <c r="P629" s="1"/>
      <c r="Q629" s="1"/>
      <c r="R629" s="1"/>
      <c r="S629" s="1"/>
    </row>
    <row r="630" spans="1:19" ht="30" x14ac:dyDescent="0.25">
      <c r="A630" s="10" t="s">
        <v>21</v>
      </c>
      <c r="B630" s="211" t="s">
        <v>13</v>
      </c>
      <c r="C630" s="70" t="s">
        <v>219</v>
      </c>
      <c r="D630" s="12" t="s">
        <v>14</v>
      </c>
      <c r="E630" s="12">
        <v>2</v>
      </c>
      <c r="F630" s="14">
        <v>0</v>
      </c>
      <c r="G630" s="102"/>
      <c r="H630" s="113">
        <f>E630*F630</f>
        <v>0</v>
      </c>
      <c r="I630" s="15"/>
      <c r="J630" s="1"/>
      <c r="K630" s="1"/>
      <c r="P630" s="1"/>
      <c r="Q630" s="1"/>
      <c r="R630" s="1"/>
      <c r="S630" s="1"/>
    </row>
    <row r="631" spans="1:19" ht="50.25" customHeight="1" x14ac:dyDescent="0.25">
      <c r="A631" s="173" t="s">
        <v>23</v>
      </c>
      <c r="B631" s="252" t="s">
        <v>9</v>
      </c>
      <c r="C631" s="179" t="s">
        <v>317</v>
      </c>
      <c r="D631" s="88" t="s">
        <v>54</v>
      </c>
      <c r="E631" s="88">
        <v>0.27</v>
      </c>
      <c r="F631" s="150"/>
      <c r="G631" s="65">
        <v>0</v>
      </c>
      <c r="H631" s="150"/>
      <c r="I631" s="65">
        <f>E631*G631</f>
        <v>0</v>
      </c>
      <c r="J631" s="1"/>
      <c r="K631" s="1"/>
      <c r="P631" s="1"/>
      <c r="Q631" s="1"/>
      <c r="R631" s="1"/>
      <c r="S631" s="1"/>
    </row>
    <row r="632" spans="1:19" ht="14.25" customHeight="1" x14ac:dyDescent="0.25">
      <c r="A632" s="29" t="s">
        <v>24</v>
      </c>
      <c r="B632" s="205" t="s">
        <v>13</v>
      </c>
      <c r="C632" s="180" t="s">
        <v>165</v>
      </c>
      <c r="D632" s="20" t="s">
        <v>38</v>
      </c>
      <c r="E632" s="76">
        <f>0.712*E631</f>
        <v>0.19</v>
      </c>
      <c r="F632" s="33">
        <v>0</v>
      </c>
      <c r="G632" s="15"/>
      <c r="H632" s="33">
        <f t="shared" ref="H632:H634" si="55">E632*F632</f>
        <v>0</v>
      </c>
      <c r="I632" s="15"/>
      <c r="J632" s="1"/>
      <c r="K632" s="1"/>
      <c r="P632" s="1"/>
      <c r="Q632" s="1"/>
      <c r="R632" s="1"/>
      <c r="S632" s="1"/>
    </row>
    <row r="633" spans="1:19" ht="27" customHeight="1" x14ac:dyDescent="0.25">
      <c r="A633" s="29" t="s">
        <v>60</v>
      </c>
      <c r="B633" s="205" t="s">
        <v>13</v>
      </c>
      <c r="C633" s="180" t="s">
        <v>318</v>
      </c>
      <c r="D633" s="20" t="s">
        <v>58</v>
      </c>
      <c r="E633" s="20">
        <v>0.3</v>
      </c>
      <c r="F633" s="33">
        <v>0</v>
      </c>
      <c r="G633" s="15"/>
      <c r="H633" s="33">
        <f t="shared" si="55"/>
        <v>0</v>
      </c>
      <c r="I633" s="15"/>
      <c r="J633" s="1"/>
      <c r="K633" s="1"/>
      <c r="P633" s="1"/>
      <c r="Q633" s="1"/>
      <c r="R633" s="1"/>
      <c r="S633" s="1"/>
    </row>
    <row r="634" spans="1:19" ht="14.25" customHeight="1" x14ac:dyDescent="0.25">
      <c r="A634" s="112" t="s">
        <v>138</v>
      </c>
      <c r="B634" s="205" t="s">
        <v>13</v>
      </c>
      <c r="C634" s="122" t="s">
        <v>319</v>
      </c>
      <c r="D634" s="90" t="s">
        <v>54</v>
      </c>
      <c r="E634" s="90">
        <v>0.1</v>
      </c>
      <c r="F634" s="33">
        <v>0</v>
      </c>
      <c r="G634" s="102"/>
      <c r="H634" s="113">
        <f t="shared" si="55"/>
        <v>0</v>
      </c>
      <c r="I634" s="15"/>
      <c r="J634" s="1"/>
      <c r="K634" s="1"/>
      <c r="P634" s="1"/>
      <c r="Q634" s="1"/>
      <c r="R634" s="1"/>
      <c r="S634" s="1"/>
    </row>
    <row r="635" spans="1:19" ht="39" customHeight="1" x14ac:dyDescent="0.25">
      <c r="A635" s="26" t="s">
        <v>51</v>
      </c>
      <c r="B635" s="228" t="s">
        <v>189</v>
      </c>
      <c r="C635" s="17" t="s">
        <v>48</v>
      </c>
      <c r="D635" s="19" t="s">
        <v>14</v>
      </c>
      <c r="E635" s="19">
        <v>6</v>
      </c>
      <c r="F635" s="28"/>
      <c r="G635" s="58">
        <v>0</v>
      </c>
      <c r="H635" s="28"/>
      <c r="I635" s="58">
        <f>E635*G635</f>
        <v>0</v>
      </c>
      <c r="J635" s="1"/>
      <c r="K635" s="1"/>
      <c r="P635" s="1"/>
      <c r="Q635" s="1"/>
      <c r="R635" s="1"/>
      <c r="S635" s="1"/>
    </row>
    <row r="636" spans="1:19" ht="40.5" customHeight="1" x14ac:dyDescent="0.25">
      <c r="A636" s="29" t="s">
        <v>26</v>
      </c>
      <c r="B636" s="205" t="s">
        <v>13</v>
      </c>
      <c r="C636" s="11" t="s">
        <v>620</v>
      </c>
      <c r="D636" s="20" t="s">
        <v>14</v>
      </c>
      <c r="E636" s="175">
        <v>1</v>
      </c>
      <c r="F636" s="33">
        <v>0</v>
      </c>
      <c r="G636" s="15"/>
      <c r="H636" s="33">
        <f>E636*F636</f>
        <v>0</v>
      </c>
      <c r="I636" s="15"/>
      <c r="J636" s="1"/>
      <c r="K636" s="1"/>
      <c r="P636" s="1"/>
      <c r="Q636" s="1"/>
      <c r="R636" s="1"/>
      <c r="S636" s="1"/>
    </row>
    <row r="637" spans="1:19" ht="28.5" customHeight="1" x14ac:dyDescent="0.25">
      <c r="A637" s="112" t="s">
        <v>27</v>
      </c>
      <c r="B637" s="205" t="s">
        <v>13</v>
      </c>
      <c r="C637" s="122" t="s">
        <v>321</v>
      </c>
      <c r="D637" s="90" t="s">
        <v>14</v>
      </c>
      <c r="E637" s="90">
        <v>5</v>
      </c>
      <c r="F637" s="33">
        <v>0</v>
      </c>
      <c r="G637" s="102"/>
      <c r="H637" s="113">
        <f>E637*F637</f>
        <v>0</v>
      </c>
      <c r="I637" s="15"/>
      <c r="J637" s="1"/>
      <c r="K637" s="1"/>
      <c r="P637" s="1"/>
      <c r="Q637" s="1"/>
      <c r="R637" s="1"/>
      <c r="S637" s="1"/>
    </row>
    <row r="638" spans="1:19" ht="56.25" customHeight="1" x14ac:dyDescent="0.25">
      <c r="A638" s="100" t="s">
        <v>29</v>
      </c>
      <c r="B638" s="245" t="s">
        <v>9</v>
      </c>
      <c r="C638" s="183" t="s">
        <v>61</v>
      </c>
      <c r="D638" s="88" t="s">
        <v>54</v>
      </c>
      <c r="E638" s="88">
        <v>0.96</v>
      </c>
      <c r="F638" s="28"/>
      <c r="G638" s="117">
        <v>0</v>
      </c>
      <c r="H638" s="103"/>
      <c r="I638" s="58">
        <f>E638*G638</f>
        <v>0</v>
      </c>
      <c r="J638" s="1"/>
      <c r="K638" s="1"/>
      <c r="P638" s="1"/>
      <c r="Q638" s="1"/>
      <c r="R638" s="1"/>
      <c r="S638" s="1"/>
    </row>
    <row r="639" spans="1:19" ht="14.25" customHeight="1" x14ac:dyDescent="0.25">
      <c r="A639" s="112" t="s">
        <v>31</v>
      </c>
      <c r="B639" s="246" t="s">
        <v>13</v>
      </c>
      <c r="C639" s="122" t="s">
        <v>165</v>
      </c>
      <c r="D639" s="90" t="s">
        <v>38</v>
      </c>
      <c r="E639" s="184">
        <f>0.712*E638</f>
        <v>0.68</v>
      </c>
      <c r="F639" s="33">
        <v>0</v>
      </c>
      <c r="G639" s="102"/>
      <c r="H639" s="113">
        <f>E639*F639</f>
        <v>0</v>
      </c>
      <c r="I639" s="15"/>
      <c r="J639" s="1"/>
      <c r="K639" s="1"/>
      <c r="P639" s="1"/>
      <c r="Q639" s="1"/>
      <c r="R639" s="1"/>
      <c r="S639" s="1"/>
    </row>
    <row r="640" spans="1:19" ht="31.5" customHeight="1" x14ac:dyDescent="0.25">
      <c r="A640" s="112" t="s">
        <v>63</v>
      </c>
      <c r="B640" s="246" t="s">
        <v>13</v>
      </c>
      <c r="C640" s="122" t="s">
        <v>322</v>
      </c>
      <c r="D640" s="90" t="s">
        <v>58</v>
      </c>
      <c r="E640" s="90">
        <v>1.6</v>
      </c>
      <c r="F640" s="33">
        <v>0</v>
      </c>
      <c r="G640" s="102"/>
      <c r="H640" s="113">
        <f>E640*F640</f>
        <v>0</v>
      </c>
      <c r="I640" s="15"/>
      <c r="J640" s="1"/>
      <c r="K640" s="1">
        <f>0.6*E640</f>
        <v>0.96</v>
      </c>
      <c r="P640" s="1"/>
      <c r="Q640" s="1"/>
      <c r="R640" s="1"/>
      <c r="S640" s="1"/>
    </row>
    <row r="641" spans="1:19" ht="42.75" customHeight="1" x14ac:dyDescent="0.25">
      <c r="A641" s="100" t="s">
        <v>32</v>
      </c>
      <c r="B641" s="245" t="s">
        <v>9</v>
      </c>
      <c r="C641" s="183" t="s">
        <v>137</v>
      </c>
      <c r="D641" s="88" t="s">
        <v>14</v>
      </c>
      <c r="E641" s="88">
        <v>6</v>
      </c>
      <c r="F641" s="28"/>
      <c r="G641" s="117">
        <v>0</v>
      </c>
      <c r="H641" s="103"/>
      <c r="I641" s="58">
        <f>E641*G641</f>
        <v>0</v>
      </c>
      <c r="J641" s="1"/>
      <c r="K641" s="1"/>
      <c r="P641" s="1"/>
      <c r="Q641" s="1"/>
      <c r="R641" s="1"/>
      <c r="S641" s="1"/>
    </row>
    <row r="642" spans="1:19" ht="29.25" customHeight="1" x14ac:dyDescent="0.25">
      <c r="A642" s="112" t="s">
        <v>33</v>
      </c>
      <c r="B642" s="246" t="s">
        <v>13</v>
      </c>
      <c r="C642" s="122" t="s">
        <v>323</v>
      </c>
      <c r="D642" s="90" t="s">
        <v>14</v>
      </c>
      <c r="E642" s="90">
        <v>5</v>
      </c>
      <c r="F642" s="33">
        <v>0</v>
      </c>
      <c r="G642" s="102"/>
      <c r="H642" s="113">
        <f>E642*F642</f>
        <v>0</v>
      </c>
      <c r="I642" s="15"/>
      <c r="J642" s="1"/>
      <c r="K642" s="1"/>
      <c r="P642" s="1"/>
      <c r="Q642" s="1"/>
      <c r="R642" s="1"/>
      <c r="S642" s="1"/>
    </row>
    <row r="643" spans="1:19" ht="37.5" customHeight="1" thickBot="1" x14ac:dyDescent="0.3">
      <c r="A643" s="376" t="s">
        <v>34</v>
      </c>
      <c r="B643" s="377" t="s">
        <v>13</v>
      </c>
      <c r="C643" s="122" t="s">
        <v>320</v>
      </c>
      <c r="D643" s="92" t="s">
        <v>14</v>
      </c>
      <c r="E643" s="92">
        <v>1</v>
      </c>
      <c r="F643" s="186">
        <v>0</v>
      </c>
      <c r="G643" s="114"/>
      <c r="H643" s="120">
        <f>E643*F643</f>
        <v>0</v>
      </c>
      <c r="I643" s="127"/>
      <c r="J643" s="1"/>
      <c r="K643" s="1"/>
      <c r="P643" s="1"/>
      <c r="Q643" s="1"/>
      <c r="R643" s="1"/>
      <c r="S643" s="1"/>
    </row>
    <row r="644" spans="1:19" ht="15.75" thickBot="1" x14ac:dyDescent="0.3">
      <c r="A644" s="45"/>
      <c r="B644" s="244"/>
      <c r="C644" s="278" t="s">
        <v>417</v>
      </c>
      <c r="D644" s="48"/>
      <c r="E644" s="48"/>
      <c r="F644" s="132"/>
      <c r="G644" s="109"/>
      <c r="H644" s="121">
        <f>SUM(H625:H643)</f>
        <v>0</v>
      </c>
      <c r="I644" s="86">
        <f>SUM(I624:I643)</f>
        <v>0</v>
      </c>
      <c r="J644" s="1"/>
      <c r="K644" s="1"/>
      <c r="P644" s="1"/>
      <c r="Q644" s="1"/>
      <c r="R644" s="1"/>
      <c r="S644" s="1"/>
    </row>
    <row r="645" spans="1:19" ht="14.25" customHeight="1" thickBot="1" x14ac:dyDescent="0.3">
      <c r="A645" s="45"/>
      <c r="B645" s="244"/>
      <c r="C645" s="145" t="s">
        <v>621</v>
      </c>
      <c r="D645" s="48"/>
      <c r="E645" s="48"/>
      <c r="F645" s="99"/>
      <c r="G645" s="109"/>
      <c r="H645" s="121"/>
      <c r="I645" s="52"/>
      <c r="J645" s="1"/>
      <c r="K645" s="1"/>
      <c r="P645" s="1"/>
      <c r="Q645" s="1"/>
      <c r="R645" s="1"/>
      <c r="S645" s="1"/>
    </row>
    <row r="646" spans="1:19" ht="40.5" customHeight="1" x14ac:dyDescent="0.25">
      <c r="A646" s="100" t="s">
        <v>36</v>
      </c>
      <c r="B646" s="210" t="s">
        <v>9</v>
      </c>
      <c r="C646" s="74" t="s">
        <v>53</v>
      </c>
      <c r="D646" s="18" t="s">
        <v>54</v>
      </c>
      <c r="E646" s="18">
        <v>1.3</v>
      </c>
      <c r="F646" s="28"/>
      <c r="G646" s="117">
        <v>0</v>
      </c>
      <c r="H646" s="103"/>
      <c r="I646" s="58">
        <f>E646*G646</f>
        <v>0</v>
      </c>
      <c r="J646" s="1"/>
      <c r="K646" s="1"/>
      <c r="P646" s="1"/>
      <c r="Q646" s="1"/>
      <c r="R646" s="1"/>
      <c r="S646" s="1"/>
    </row>
    <row r="647" spans="1:19" ht="18.75" customHeight="1" x14ac:dyDescent="0.25">
      <c r="A647" s="10" t="s">
        <v>37</v>
      </c>
      <c r="B647" s="211" t="s">
        <v>13</v>
      </c>
      <c r="C647" s="70" t="s">
        <v>55</v>
      </c>
      <c r="D647" s="71" t="s">
        <v>38</v>
      </c>
      <c r="E647" s="72">
        <f>0.606*E646</f>
        <v>0.79</v>
      </c>
      <c r="F647" s="33">
        <v>0</v>
      </c>
      <c r="G647" s="15"/>
      <c r="H647" s="33">
        <f t="shared" ref="H647:H648" si="56">E647*F647</f>
        <v>0</v>
      </c>
      <c r="I647" s="15"/>
      <c r="J647" s="1"/>
      <c r="K647" s="1"/>
      <c r="P647" s="1"/>
      <c r="Q647" s="1"/>
      <c r="R647" s="1"/>
      <c r="S647" s="1"/>
    </row>
    <row r="648" spans="1:19" ht="30.75" customHeight="1" x14ac:dyDescent="0.25">
      <c r="A648" s="10" t="s">
        <v>233</v>
      </c>
      <c r="B648" s="211" t="s">
        <v>13</v>
      </c>
      <c r="C648" s="124" t="s">
        <v>324</v>
      </c>
      <c r="D648" s="12" t="s">
        <v>58</v>
      </c>
      <c r="E648" s="12">
        <v>3.3</v>
      </c>
      <c r="F648" s="33">
        <v>0</v>
      </c>
      <c r="G648" s="102"/>
      <c r="H648" s="113">
        <f t="shared" si="56"/>
        <v>0</v>
      </c>
      <c r="I648" s="15"/>
      <c r="J648" s="1"/>
      <c r="K648" s="1"/>
      <c r="P648" s="1"/>
      <c r="Q648" s="1"/>
      <c r="R648" s="1"/>
      <c r="S648" s="1"/>
    </row>
    <row r="649" spans="1:19" ht="18.75" customHeight="1" x14ac:dyDescent="0.25">
      <c r="A649" s="16" t="s">
        <v>39</v>
      </c>
      <c r="B649" s="215" t="s">
        <v>9</v>
      </c>
      <c r="C649" s="17" t="s">
        <v>222</v>
      </c>
      <c r="D649" s="18" t="s">
        <v>14</v>
      </c>
      <c r="E649" s="18">
        <v>2</v>
      </c>
      <c r="F649" s="13"/>
      <c r="G649" s="117">
        <v>0</v>
      </c>
      <c r="H649" s="103"/>
      <c r="I649" s="58">
        <f>E649*G649</f>
        <v>0</v>
      </c>
      <c r="J649" s="1"/>
      <c r="K649" s="1"/>
      <c r="P649" s="1"/>
      <c r="Q649" s="1"/>
      <c r="R649" s="1"/>
      <c r="S649" s="1"/>
    </row>
    <row r="650" spans="1:19" ht="25.5" customHeight="1" x14ac:dyDescent="0.25">
      <c r="A650" s="10" t="s">
        <v>40</v>
      </c>
      <c r="B650" s="211" t="s">
        <v>13</v>
      </c>
      <c r="C650" s="11" t="s">
        <v>223</v>
      </c>
      <c r="D650" s="12" t="s">
        <v>14</v>
      </c>
      <c r="E650" s="12">
        <v>2</v>
      </c>
      <c r="F650" s="14">
        <v>0</v>
      </c>
      <c r="G650" s="102"/>
      <c r="H650" s="113">
        <f>E650*F650</f>
        <v>0</v>
      </c>
      <c r="I650" s="15"/>
      <c r="J650" s="1"/>
      <c r="K650" s="1"/>
      <c r="P650" s="1"/>
      <c r="Q650" s="1"/>
      <c r="R650" s="1"/>
      <c r="S650" s="1"/>
    </row>
    <row r="651" spans="1:19" ht="14.25" customHeight="1" x14ac:dyDescent="0.25">
      <c r="A651" s="10" t="s">
        <v>41</v>
      </c>
      <c r="B651" s="211" t="s">
        <v>13</v>
      </c>
      <c r="C651" s="11" t="s">
        <v>224</v>
      </c>
      <c r="D651" s="12" t="s">
        <v>14</v>
      </c>
      <c r="E651" s="12">
        <v>2</v>
      </c>
      <c r="F651" s="14">
        <v>0</v>
      </c>
      <c r="G651" s="102"/>
      <c r="H651" s="113">
        <f>E651*F651</f>
        <v>0</v>
      </c>
      <c r="I651" s="15"/>
      <c r="J651" s="1"/>
      <c r="K651" s="1"/>
      <c r="P651" s="1"/>
      <c r="Q651" s="1"/>
      <c r="R651" s="1"/>
      <c r="S651" s="1"/>
    </row>
    <row r="652" spans="1:19" ht="33.75" customHeight="1" x14ac:dyDescent="0.25">
      <c r="A652" s="16" t="s">
        <v>242</v>
      </c>
      <c r="B652" s="215" t="s">
        <v>9</v>
      </c>
      <c r="C652" s="17" t="s">
        <v>225</v>
      </c>
      <c r="D652" s="18" t="s">
        <v>54</v>
      </c>
      <c r="E652" s="18">
        <v>1.8</v>
      </c>
      <c r="F652" s="13"/>
      <c r="G652" s="117">
        <v>0</v>
      </c>
      <c r="H652" s="103"/>
      <c r="I652" s="58">
        <f>E652*G652</f>
        <v>0</v>
      </c>
      <c r="J652" s="1"/>
      <c r="K652" s="1"/>
      <c r="P652" s="1"/>
      <c r="Q652" s="1"/>
      <c r="R652" s="1"/>
      <c r="S652" s="1"/>
    </row>
    <row r="653" spans="1:19" ht="23.25" customHeight="1" thickBot="1" x14ac:dyDescent="0.3">
      <c r="A653" s="54" t="s">
        <v>42</v>
      </c>
      <c r="B653" s="213" t="s">
        <v>13</v>
      </c>
      <c r="C653" s="55" t="s">
        <v>203</v>
      </c>
      <c r="D653" s="141" t="s">
        <v>54</v>
      </c>
      <c r="E653" s="141">
        <v>1.8</v>
      </c>
      <c r="F653" s="142">
        <v>0</v>
      </c>
      <c r="G653" s="114"/>
      <c r="H653" s="120">
        <f>E653*F653</f>
        <v>0</v>
      </c>
      <c r="I653" s="127"/>
      <c r="J653" s="1"/>
      <c r="K653" s="1"/>
      <c r="P653" s="1"/>
      <c r="Q653" s="1"/>
      <c r="R653" s="1"/>
      <c r="S653" s="1"/>
    </row>
    <row r="654" spans="1:19" ht="15.75" thickBot="1" x14ac:dyDescent="0.3">
      <c r="A654" s="45"/>
      <c r="B654" s="216"/>
      <c r="C654" s="268" t="s">
        <v>417</v>
      </c>
      <c r="D654" s="48"/>
      <c r="E654" s="48"/>
      <c r="F654" s="132"/>
      <c r="G654" s="109"/>
      <c r="H654" s="121">
        <f>SUM(H647:H653)</f>
        <v>0</v>
      </c>
      <c r="I654" s="86">
        <f>SUM(I646:I653)</f>
        <v>0</v>
      </c>
      <c r="J654" s="1"/>
      <c r="K654" s="1"/>
      <c r="P654" s="1"/>
      <c r="Q654" s="1"/>
      <c r="R654" s="1"/>
      <c r="S654" s="1"/>
    </row>
    <row r="655" spans="1:19" ht="14.25" customHeight="1" thickBot="1" x14ac:dyDescent="0.3">
      <c r="A655" s="45"/>
      <c r="B655" s="244"/>
      <c r="C655" s="145" t="s">
        <v>325</v>
      </c>
      <c r="D655" s="48"/>
      <c r="E655" s="48"/>
      <c r="F655" s="99"/>
      <c r="G655" s="109"/>
      <c r="H655" s="121"/>
      <c r="I655" s="52"/>
      <c r="J655" s="1"/>
      <c r="K655" s="1"/>
      <c r="P655" s="1"/>
      <c r="Q655" s="1"/>
      <c r="R655" s="1"/>
      <c r="S655" s="1"/>
    </row>
    <row r="656" spans="1:19" ht="44.25" customHeight="1" x14ac:dyDescent="0.25">
      <c r="A656" s="100" t="s">
        <v>69</v>
      </c>
      <c r="B656" s="245" t="s">
        <v>9</v>
      </c>
      <c r="C656" s="183" t="s">
        <v>61</v>
      </c>
      <c r="D656" s="88" t="s">
        <v>54</v>
      </c>
      <c r="E656" s="88">
        <v>0.48</v>
      </c>
      <c r="F656" s="6"/>
      <c r="G656" s="42">
        <v>0</v>
      </c>
      <c r="H656" s="28"/>
      <c r="I656" s="58">
        <f>E656*G656</f>
        <v>0</v>
      </c>
      <c r="J656" s="1"/>
      <c r="K656" s="1"/>
      <c r="P656" s="1"/>
      <c r="Q656" s="1"/>
      <c r="R656" s="1"/>
      <c r="S656" s="1"/>
    </row>
    <row r="657" spans="1:19" ht="14.25" customHeight="1" x14ac:dyDescent="0.25">
      <c r="A657" s="112" t="s">
        <v>70</v>
      </c>
      <c r="B657" s="246" t="s">
        <v>13</v>
      </c>
      <c r="C657" s="122" t="s">
        <v>165</v>
      </c>
      <c r="D657" s="90" t="s">
        <v>38</v>
      </c>
      <c r="E657" s="184">
        <f>0.712*E656</f>
        <v>0.34</v>
      </c>
      <c r="F657" s="113">
        <v>0</v>
      </c>
      <c r="G657" s="15"/>
      <c r="H657" s="33">
        <f>E657*F657</f>
        <v>0</v>
      </c>
      <c r="I657" s="15"/>
      <c r="J657" s="1"/>
      <c r="K657" s="1"/>
      <c r="P657" s="1"/>
      <c r="Q657" s="1"/>
      <c r="R657" s="1"/>
      <c r="S657" s="1"/>
    </row>
    <row r="658" spans="1:19" x14ac:dyDescent="0.25">
      <c r="A658" s="10" t="s">
        <v>71</v>
      </c>
      <c r="B658" s="220" t="s">
        <v>13</v>
      </c>
      <c r="C658" s="70" t="s">
        <v>444</v>
      </c>
      <c r="D658" s="20" t="s">
        <v>58</v>
      </c>
      <c r="E658" s="20">
        <v>0.8</v>
      </c>
      <c r="F658" s="113">
        <v>0</v>
      </c>
      <c r="G658" s="15"/>
      <c r="H658" s="33">
        <f>E658*F658</f>
        <v>0</v>
      </c>
      <c r="I658" s="15"/>
      <c r="J658" s="1"/>
      <c r="K658" s="1">
        <f>0.6*0.8</f>
        <v>0.48</v>
      </c>
      <c r="P658" s="1"/>
      <c r="Q658" s="1"/>
      <c r="R658" s="1"/>
      <c r="S658" s="1"/>
    </row>
    <row r="659" spans="1:19" ht="60.75" customHeight="1" x14ac:dyDescent="0.25">
      <c r="A659" s="139">
        <v>12</v>
      </c>
      <c r="B659" s="210" t="s">
        <v>9</v>
      </c>
      <c r="C659" s="74" t="s">
        <v>217</v>
      </c>
      <c r="D659" s="88" t="s">
        <v>54</v>
      </c>
      <c r="E659" s="88">
        <f>0.12+62.4+0.64</f>
        <v>63.16</v>
      </c>
      <c r="F659" s="143"/>
      <c r="G659" s="65">
        <v>0</v>
      </c>
      <c r="H659" s="150"/>
      <c r="I659" s="65">
        <f>E659*G659</f>
        <v>0</v>
      </c>
      <c r="J659" s="1"/>
      <c r="K659" s="1"/>
      <c r="P659" s="1"/>
      <c r="Q659" s="1"/>
      <c r="R659" s="1"/>
      <c r="S659" s="1"/>
    </row>
    <row r="660" spans="1:19" ht="14.25" customHeight="1" x14ac:dyDescent="0.25">
      <c r="A660" s="10" t="s">
        <v>73</v>
      </c>
      <c r="B660" s="211" t="s">
        <v>13</v>
      </c>
      <c r="C660" s="11" t="s">
        <v>55</v>
      </c>
      <c r="D660" s="20" t="s">
        <v>38</v>
      </c>
      <c r="E660" s="76">
        <f>1.22*E659</f>
        <v>77.06</v>
      </c>
      <c r="F660" s="113">
        <v>0</v>
      </c>
      <c r="G660" s="15"/>
      <c r="H660" s="33">
        <f t="shared" ref="H660:H664" si="57">E660*F660</f>
        <v>0</v>
      </c>
      <c r="I660" s="15"/>
      <c r="J660" s="1"/>
      <c r="K660" s="1"/>
      <c r="P660" s="1"/>
      <c r="Q660" s="1"/>
      <c r="R660" s="1"/>
      <c r="S660" s="1"/>
    </row>
    <row r="661" spans="1:19" ht="30.75" customHeight="1" x14ac:dyDescent="0.25">
      <c r="A661" s="29" t="s">
        <v>74</v>
      </c>
      <c r="B661" s="205" t="s">
        <v>13</v>
      </c>
      <c r="C661" s="11" t="s">
        <v>326</v>
      </c>
      <c r="D661" s="20" t="s">
        <v>58</v>
      </c>
      <c r="E661" s="20">
        <v>0.1</v>
      </c>
      <c r="F661" s="113">
        <v>0</v>
      </c>
      <c r="G661" s="15"/>
      <c r="H661" s="33">
        <f t="shared" si="57"/>
        <v>0</v>
      </c>
      <c r="I661" s="15"/>
      <c r="J661" s="1"/>
      <c r="K661" s="1">
        <f>1.2*E661</f>
        <v>0.12</v>
      </c>
      <c r="P661" s="1"/>
      <c r="Q661" s="1"/>
      <c r="R661" s="1"/>
      <c r="S661" s="1"/>
    </row>
    <row r="662" spans="1:19" x14ac:dyDescent="0.25">
      <c r="A662" s="10" t="s">
        <v>75</v>
      </c>
      <c r="B662" s="205" t="s">
        <v>13</v>
      </c>
      <c r="C662" s="11" t="s">
        <v>447</v>
      </c>
      <c r="D662" s="90" t="s">
        <v>58</v>
      </c>
      <c r="E662" s="90">
        <v>54.1</v>
      </c>
      <c r="F662" s="113">
        <v>0</v>
      </c>
      <c r="G662" s="15"/>
      <c r="H662" s="33">
        <f t="shared" si="57"/>
        <v>0</v>
      </c>
      <c r="I662" s="15"/>
      <c r="J662" s="1"/>
      <c r="K662" s="1">
        <f>1.2*E662</f>
        <v>64.92</v>
      </c>
      <c r="P662" s="1"/>
      <c r="Q662" s="1"/>
      <c r="R662" s="1"/>
      <c r="S662" s="1"/>
    </row>
    <row r="663" spans="1:19" x14ac:dyDescent="0.25">
      <c r="A663" s="29" t="s">
        <v>833</v>
      </c>
      <c r="B663" s="246" t="s">
        <v>13</v>
      </c>
      <c r="C663" s="122" t="s">
        <v>448</v>
      </c>
      <c r="D663" s="90" t="s">
        <v>14</v>
      </c>
      <c r="E663" s="90">
        <v>1</v>
      </c>
      <c r="F663" s="113">
        <v>0</v>
      </c>
      <c r="G663" s="15"/>
      <c r="H663" s="33">
        <f t="shared" si="57"/>
        <v>0</v>
      </c>
      <c r="I663" s="15"/>
      <c r="J663" s="1"/>
      <c r="K663" s="1">
        <f>0.64*E663</f>
        <v>0.64</v>
      </c>
      <c r="P663" s="1"/>
      <c r="Q663" s="1"/>
      <c r="R663" s="1"/>
      <c r="S663" s="1"/>
    </row>
    <row r="664" spans="1:19" ht="16.5" customHeight="1" x14ac:dyDescent="0.25">
      <c r="A664" s="10" t="s">
        <v>834</v>
      </c>
      <c r="B664" s="233" t="s">
        <v>13</v>
      </c>
      <c r="C664" s="122" t="s">
        <v>230</v>
      </c>
      <c r="D664" s="90" t="s">
        <v>54</v>
      </c>
      <c r="E664" s="90">
        <v>0.1</v>
      </c>
      <c r="F664" s="113">
        <v>0</v>
      </c>
      <c r="G664" s="15"/>
      <c r="H664" s="33">
        <f t="shared" si="57"/>
        <v>0</v>
      </c>
      <c r="I664" s="15"/>
      <c r="J664" s="1"/>
      <c r="K664" s="1"/>
      <c r="P664" s="1"/>
      <c r="Q664" s="1"/>
      <c r="R664" s="1"/>
      <c r="S664" s="1"/>
    </row>
    <row r="665" spans="1:19" ht="28.5" x14ac:dyDescent="0.25">
      <c r="A665" s="26" t="s">
        <v>76</v>
      </c>
      <c r="B665" s="228" t="s">
        <v>189</v>
      </c>
      <c r="C665" s="17" t="s">
        <v>48</v>
      </c>
      <c r="D665" s="19" t="s">
        <v>14</v>
      </c>
      <c r="E665" s="19">
        <v>3</v>
      </c>
      <c r="F665" s="103"/>
      <c r="G665" s="58">
        <v>0</v>
      </c>
      <c r="H665" s="28"/>
      <c r="I665" s="58">
        <f>E665*G665</f>
        <v>0</v>
      </c>
      <c r="J665" s="1"/>
      <c r="K665" s="1"/>
      <c r="P665" s="1"/>
      <c r="Q665" s="1"/>
      <c r="R665" s="1"/>
      <c r="S665" s="1"/>
    </row>
    <row r="666" spans="1:19" ht="30" customHeight="1" x14ac:dyDescent="0.25">
      <c r="A666" s="29" t="s">
        <v>77</v>
      </c>
      <c r="B666" s="205" t="s">
        <v>13</v>
      </c>
      <c r="C666" s="11" t="s">
        <v>231</v>
      </c>
      <c r="D666" s="20" t="s">
        <v>14</v>
      </c>
      <c r="E666" s="175">
        <v>1</v>
      </c>
      <c r="F666" s="113">
        <v>0</v>
      </c>
      <c r="G666" s="15"/>
      <c r="H666" s="33">
        <f>E666*F666</f>
        <v>0</v>
      </c>
      <c r="I666" s="15"/>
      <c r="J666" s="1"/>
      <c r="K666" s="1"/>
      <c r="P666" s="1"/>
      <c r="Q666" s="1"/>
      <c r="R666" s="1"/>
      <c r="S666" s="1"/>
    </row>
    <row r="667" spans="1:19" ht="44.25" customHeight="1" x14ac:dyDescent="0.25">
      <c r="A667" s="112" t="s">
        <v>387</v>
      </c>
      <c r="B667" s="205" t="s">
        <v>13</v>
      </c>
      <c r="C667" s="122" t="s">
        <v>321</v>
      </c>
      <c r="D667" s="90" t="s">
        <v>14</v>
      </c>
      <c r="E667" s="90">
        <v>2</v>
      </c>
      <c r="F667" s="113">
        <v>0</v>
      </c>
      <c r="G667" s="15"/>
      <c r="H667" s="33">
        <f>E667*F667</f>
        <v>0</v>
      </c>
      <c r="I667" s="15"/>
      <c r="J667" s="1"/>
      <c r="K667" s="1"/>
      <c r="P667" s="1"/>
      <c r="Q667" s="1"/>
      <c r="R667" s="1"/>
      <c r="S667" s="1"/>
    </row>
    <row r="668" spans="1:19" ht="44.25" customHeight="1" x14ac:dyDescent="0.25">
      <c r="A668" s="95" t="s">
        <v>78</v>
      </c>
      <c r="B668" s="247" t="s">
        <v>9</v>
      </c>
      <c r="C668" s="17" t="s">
        <v>211</v>
      </c>
      <c r="D668" s="19" t="s">
        <v>54</v>
      </c>
      <c r="E668" s="12">
        <v>67.8</v>
      </c>
      <c r="F668" s="113"/>
      <c r="G668" s="15">
        <v>0</v>
      </c>
      <c r="H668" s="33"/>
      <c r="I668" s="15">
        <f>E668*G668</f>
        <v>0</v>
      </c>
      <c r="J668" s="1"/>
      <c r="K668" s="1"/>
      <c r="P668" s="1"/>
      <c r="Q668" s="1"/>
      <c r="R668" s="1"/>
      <c r="S668" s="1"/>
    </row>
    <row r="669" spans="1:19" x14ac:dyDescent="0.25">
      <c r="A669" s="93" t="s">
        <v>79</v>
      </c>
      <c r="B669" s="247" t="s">
        <v>13</v>
      </c>
      <c r="C669" s="188" t="s">
        <v>209</v>
      </c>
      <c r="D669" s="90" t="s">
        <v>54</v>
      </c>
      <c r="E669" s="12">
        <f>1.1*E668</f>
        <v>74.58</v>
      </c>
      <c r="F669" s="113">
        <v>0</v>
      </c>
      <c r="G669" s="15"/>
      <c r="H669" s="33">
        <f>E669*F669</f>
        <v>0</v>
      </c>
      <c r="I669" s="15"/>
      <c r="J669" s="1"/>
      <c r="K669" s="1"/>
      <c r="P669" s="1"/>
      <c r="Q669" s="1"/>
      <c r="R669" s="1"/>
      <c r="S669" s="1"/>
    </row>
    <row r="670" spans="1:19" x14ac:dyDescent="0.25">
      <c r="A670" s="93" t="s">
        <v>392</v>
      </c>
      <c r="B670" s="247" t="s">
        <v>13</v>
      </c>
      <c r="C670" s="11" t="s">
        <v>210</v>
      </c>
      <c r="D670" s="20" t="s">
        <v>38</v>
      </c>
      <c r="E670" s="12">
        <f>0.7*E668</f>
        <v>47.46</v>
      </c>
      <c r="F670" s="113">
        <v>0</v>
      </c>
      <c r="G670" s="15"/>
      <c r="H670" s="33">
        <f>E670*F670</f>
        <v>0</v>
      </c>
      <c r="I670" s="15"/>
      <c r="J670" s="1"/>
      <c r="K670" s="1"/>
      <c r="P670" s="1"/>
      <c r="Q670" s="1"/>
      <c r="R670" s="1"/>
      <c r="S670" s="1"/>
    </row>
    <row r="671" spans="1:19" ht="14.25" customHeight="1" x14ac:dyDescent="0.25">
      <c r="A671" s="100" t="s">
        <v>80</v>
      </c>
      <c r="B671" s="245" t="s">
        <v>9</v>
      </c>
      <c r="C671" s="187" t="s">
        <v>327</v>
      </c>
      <c r="D671" s="88" t="s">
        <v>14</v>
      </c>
      <c r="E671" s="88">
        <v>1</v>
      </c>
      <c r="F671" s="143"/>
      <c r="G671" s="65">
        <v>0</v>
      </c>
      <c r="H671" s="150"/>
      <c r="I671" s="65">
        <f>E671*G671</f>
        <v>0</v>
      </c>
      <c r="J671" s="1"/>
      <c r="K671" s="1"/>
      <c r="P671" s="1"/>
      <c r="Q671" s="1"/>
      <c r="R671" s="1"/>
      <c r="S671" s="1"/>
    </row>
    <row r="672" spans="1:19" ht="14.25" customHeight="1" x14ac:dyDescent="0.25">
      <c r="A672" s="112" t="s">
        <v>81</v>
      </c>
      <c r="B672" s="246" t="s">
        <v>13</v>
      </c>
      <c r="C672" s="122" t="s">
        <v>328</v>
      </c>
      <c r="D672" s="90" t="s">
        <v>14</v>
      </c>
      <c r="E672" s="90">
        <v>1</v>
      </c>
      <c r="F672" s="113">
        <v>0</v>
      </c>
      <c r="G672" s="15"/>
      <c r="H672" s="33">
        <f>E672*F672</f>
        <v>0</v>
      </c>
      <c r="I672" s="15"/>
      <c r="J672" s="1"/>
      <c r="K672" s="1"/>
      <c r="P672" s="1"/>
      <c r="Q672" s="1"/>
      <c r="R672" s="1"/>
      <c r="S672" s="1"/>
    </row>
    <row r="673" spans="1:19" ht="28.5" x14ac:dyDescent="0.25">
      <c r="A673" s="100" t="s">
        <v>86</v>
      </c>
      <c r="B673" s="245" t="s">
        <v>9</v>
      </c>
      <c r="C673" s="183" t="s">
        <v>330</v>
      </c>
      <c r="D673" s="88" t="s">
        <v>14</v>
      </c>
      <c r="E673" s="88">
        <v>2</v>
      </c>
      <c r="F673" s="103"/>
      <c r="G673" s="58">
        <v>0</v>
      </c>
      <c r="H673" s="28"/>
      <c r="I673" s="58">
        <f>E673*G673</f>
        <v>0</v>
      </c>
      <c r="J673" s="1"/>
      <c r="K673" s="1"/>
      <c r="P673" s="1"/>
      <c r="Q673" s="1"/>
      <c r="R673" s="1"/>
      <c r="S673" s="1"/>
    </row>
    <row r="674" spans="1:19" ht="15.75" thickBot="1" x14ac:dyDescent="0.3">
      <c r="A674" s="376" t="s">
        <v>87</v>
      </c>
      <c r="B674" s="377" t="s">
        <v>13</v>
      </c>
      <c r="C674" s="122" t="s">
        <v>329</v>
      </c>
      <c r="D674" s="92" t="s">
        <v>14</v>
      </c>
      <c r="E674" s="92">
        <v>2</v>
      </c>
      <c r="F674" s="111">
        <v>0</v>
      </c>
      <c r="G674" s="44"/>
      <c r="H674" s="186">
        <f>E674*F674</f>
        <v>0</v>
      </c>
      <c r="I674" s="127"/>
      <c r="J674" s="1"/>
      <c r="K674" s="1"/>
      <c r="P674" s="1"/>
      <c r="Q674" s="1"/>
      <c r="R674" s="1"/>
      <c r="S674" s="1"/>
    </row>
    <row r="675" spans="1:19" ht="15.75" thickBot="1" x14ac:dyDescent="0.3">
      <c r="A675" s="45"/>
      <c r="B675" s="244"/>
      <c r="C675" s="278" t="s">
        <v>417</v>
      </c>
      <c r="D675" s="48"/>
      <c r="E675" s="48"/>
      <c r="F675" s="132"/>
      <c r="G675" s="109"/>
      <c r="H675" s="121">
        <f>SUM(H657:H674)</f>
        <v>0</v>
      </c>
      <c r="I675" s="86">
        <f>SUM(I656:I674)</f>
        <v>0</v>
      </c>
      <c r="J675" s="1"/>
      <c r="K675" s="1"/>
      <c r="P675" s="1"/>
      <c r="Q675" s="1"/>
      <c r="R675" s="1"/>
      <c r="S675" s="1"/>
    </row>
    <row r="676" spans="1:19" ht="14.25" customHeight="1" thickBot="1" x14ac:dyDescent="0.3">
      <c r="A676" s="45"/>
      <c r="B676" s="244"/>
      <c r="C676" s="145" t="s">
        <v>622</v>
      </c>
      <c r="D676" s="48"/>
      <c r="E676" s="48"/>
      <c r="F676" s="99"/>
      <c r="G676" s="109"/>
      <c r="H676" s="121"/>
      <c r="I676" s="52"/>
      <c r="J676" s="1"/>
      <c r="K676" s="1"/>
      <c r="P676" s="1"/>
      <c r="Q676" s="1"/>
      <c r="R676" s="1"/>
      <c r="S676" s="1"/>
    </row>
    <row r="677" spans="1:19" ht="52.5" customHeight="1" x14ac:dyDescent="0.25">
      <c r="A677" s="97" t="s">
        <v>88</v>
      </c>
      <c r="B677" s="204" t="s">
        <v>9</v>
      </c>
      <c r="C677" s="5" t="s">
        <v>53</v>
      </c>
      <c r="D677" s="53" t="s">
        <v>54</v>
      </c>
      <c r="E677" s="4">
        <v>3.93</v>
      </c>
      <c r="F677" s="8"/>
      <c r="G677" s="172">
        <v>0</v>
      </c>
      <c r="H677" s="6"/>
      <c r="I677" s="42">
        <f>E677*G677</f>
        <v>0</v>
      </c>
      <c r="J677" s="1"/>
      <c r="K677" s="1">
        <f>K679+K680+K681+K682+K683+K684+K685+K686+K687+K688</f>
        <v>3.93</v>
      </c>
      <c r="P677" s="1"/>
      <c r="Q677" s="1"/>
      <c r="R677" s="1"/>
      <c r="S677" s="1"/>
    </row>
    <row r="678" spans="1:19" ht="14.25" customHeight="1" x14ac:dyDescent="0.25">
      <c r="A678" s="112" t="s">
        <v>89</v>
      </c>
      <c r="B678" s="283" t="s">
        <v>13</v>
      </c>
      <c r="C678" s="188" t="s">
        <v>165</v>
      </c>
      <c r="D678" s="90" t="s">
        <v>38</v>
      </c>
      <c r="E678" s="284">
        <f>0.606*E677</f>
        <v>2.38</v>
      </c>
      <c r="F678" s="63">
        <v>0</v>
      </c>
      <c r="G678" s="101"/>
      <c r="H678" s="126">
        <f>E678*F678</f>
        <v>0</v>
      </c>
      <c r="I678" s="119"/>
      <c r="J678" s="1"/>
      <c r="K678" s="1"/>
      <c r="P678" s="1"/>
      <c r="Q678" s="1"/>
      <c r="R678" s="1"/>
      <c r="S678" s="1"/>
    </row>
    <row r="679" spans="1:19" ht="14.25" customHeight="1" x14ac:dyDescent="0.25">
      <c r="A679" s="10" t="s">
        <v>90</v>
      </c>
      <c r="B679" s="229" t="s">
        <v>13</v>
      </c>
      <c r="C679" s="70" t="s">
        <v>207</v>
      </c>
      <c r="D679" s="20" t="s">
        <v>58</v>
      </c>
      <c r="E679" s="12">
        <f>1.5+0.9+1.5+0.4+0.7+0.3+0.3+0.1</f>
        <v>5.7</v>
      </c>
      <c r="F679" s="14">
        <v>0</v>
      </c>
      <c r="G679" s="102"/>
      <c r="H679" s="113">
        <f>E679*F679</f>
        <v>0</v>
      </c>
      <c r="I679" s="15"/>
      <c r="J679" s="1"/>
      <c r="K679" s="1">
        <v>1.79</v>
      </c>
      <c r="P679" s="1"/>
      <c r="Q679" s="1"/>
      <c r="R679" s="1"/>
      <c r="S679" s="1"/>
    </row>
    <row r="680" spans="1:19" ht="14.25" customHeight="1" x14ac:dyDescent="0.25">
      <c r="A680" s="112" t="s">
        <v>91</v>
      </c>
      <c r="B680" s="229" t="s">
        <v>13</v>
      </c>
      <c r="C680" s="70" t="s">
        <v>324</v>
      </c>
      <c r="D680" s="20" t="s">
        <v>58</v>
      </c>
      <c r="E680" s="12">
        <v>0.2</v>
      </c>
      <c r="F680" s="14">
        <v>0</v>
      </c>
      <c r="G680" s="102"/>
      <c r="H680" s="113">
        <f t="shared" ref="H680:H681" si="58">E680*F680</f>
        <v>0</v>
      </c>
      <c r="I680" s="15"/>
      <c r="J680" s="1"/>
      <c r="K680" s="1">
        <v>0.08</v>
      </c>
      <c r="P680" s="1"/>
      <c r="Q680" s="1"/>
      <c r="R680" s="1"/>
      <c r="S680" s="1"/>
    </row>
    <row r="681" spans="1:19" ht="14.25" customHeight="1" x14ac:dyDescent="0.25">
      <c r="A681" s="10" t="s">
        <v>400</v>
      </c>
      <c r="B681" s="229" t="s">
        <v>13</v>
      </c>
      <c r="C681" s="70" t="s">
        <v>331</v>
      </c>
      <c r="D681" s="20" t="s">
        <v>58</v>
      </c>
      <c r="E681" s="12">
        <v>0.2</v>
      </c>
      <c r="F681" s="14">
        <v>0</v>
      </c>
      <c r="G681" s="102"/>
      <c r="H681" s="113">
        <f t="shared" si="58"/>
        <v>0</v>
      </c>
      <c r="I681" s="15"/>
      <c r="J681" s="1"/>
      <c r="K681" s="1">
        <v>0.1</v>
      </c>
      <c r="P681" s="1"/>
      <c r="Q681" s="1"/>
      <c r="R681" s="1"/>
      <c r="S681" s="1"/>
    </row>
    <row r="682" spans="1:19" ht="14.25" customHeight="1" x14ac:dyDescent="0.25">
      <c r="A682" s="112" t="s">
        <v>401</v>
      </c>
      <c r="B682" s="229" t="s">
        <v>13</v>
      </c>
      <c r="C682" s="70" t="s">
        <v>234</v>
      </c>
      <c r="D682" s="20" t="s">
        <v>14</v>
      </c>
      <c r="E682" s="12">
        <f>1+1</f>
        <v>2</v>
      </c>
      <c r="F682" s="14">
        <v>0</v>
      </c>
      <c r="G682" s="102"/>
      <c r="H682" s="113">
        <f t="shared" ref="H682:H688" si="59">E682*F682</f>
        <v>0</v>
      </c>
      <c r="I682" s="15"/>
      <c r="J682" s="1"/>
      <c r="K682" s="1">
        <f>2*0.1</f>
        <v>0.2</v>
      </c>
      <c r="P682" s="1"/>
      <c r="Q682" s="1"/>
      <c r="R682" s="1"/>
      <c r="S682" s="1"/>
    </row>
    <row r="683" spans="1:19" ht="14.25" customHeight="1" x14ac:dyDescent="0.25">
      <c r="A683" s="10" t="s">
        <v>402</v>
      </c>
      <c r="B683" s="229" t="s">
        <v>13</v>
      </c>
      <c r="C683" s="70" t="s">
        <v>235</v>
      </c>
      <c r="D683" s="20" t="s">
        <v>14</v>
      </c>
      <c r="E683" s="12">
        <f>1+1</f>
        <v>2</v>
      </c>
      <c r="F683" s="14">
        <v>0</v>
      </c>
      <c r="G683" s="102"/>
      <c r="H683" s="113">
        <f t="shared" si="59"/>
        <v>0</v>
      </c>
      <c r="I683" s="15"/>
      <c r="J683" s="1"/>
      <c r="K683" s="1">
        <f>2*0.025</f>
        <v>0.05</v>
      </c>
      <c r="P683" s="1"/>
      <c r="Q683" s="1"/>
      <c r="R683" s="1"/>
      <c r="S683" s="1"/>
    </row>
    <row r="684" spans="1:19" ht="14.25" customHeight="1" x14ac:dyDescent="0.25">
      <c r="A684" s="112" t="s">
        <v>403</v>
      </c>
      <c r="B684" s="233" t="s">
        <v>13</v>
      </c>
      <c r="C684" s="70" t="s">
        <v>237</v>
      </c>
      <c r="D684" s="20" t="s">
        <v>14</v>
      </c>
      <c r="E684" s="20">
        <f>2</f>
        <v>2</v>
      </c>
      <c r="F684" s="14">
        <v>0</v>
      </c>
      <c r="G684" s="189"/>
      <c r="H684" s="113">
        <f t="shared" si="59"/>
        <v>0</v>
      </c>
      <c r="I684" s="190"/>
      <c r="J684" s="1"/>
      <c r="K684" s="1">
        <f>0.07*E684</f>
        <v>0.14000000000000001</v>
      </c>
      <c r="P684" s="1"/>
      <c r="Q684" s="1"/>
      <c r="R684" s="1"/>
      <c r="S684" s="1"/>
    </row>
    <row r="685" spans="1:19" ht="14.25" customHeight="1" x14ac:dyDescent="0.25">
      <c r="A685" s="10" t="s">
        <v>404</v>
      </c>
      <c r="B685" s="233" t="s">
        <v>13</v>
      </c>
      <c r="C685" s="70" t="s">
        <v>238</v>
      </c>
      <c r="D685" s="20" t="s">
        <v>14</v>
      </c>
      <c r="E685" s="20">
        <f>2+2+2</f>
        <v>6</v>
      </c>
      <c r="F685" s="14">
        <v>0</v>
      </c>
      <c r="G685" s="189"/>
      <c r="H685" s="113">
        <f t="shared" si="59"/>
        <v>0</v>
      </c>
      <c r="I685" s="190"/>
      <c r="J685" s="1"/>
      <c r="K685" s="1">
        <f>0.1*E685</f>
        <v>0.6</v>
      </c>
      <c r="P685" s="1"/>
      <c r="Q685" s="1"/>
      <c r="R685" s="1"/>
      <c r="S685" s="1"/>
    </row>
    <row r="686" spans="1:19" ht="33" customHeight="1" x14ac:dyDescent="0.25">
      <c r="A686" s="112" t="s">
        <v>405</v>
      </c>
      <c r="B686" s="233" t="s">
        <v>13</v>
      </c>
      <c r="C686" s="128" t="s">
        <v>333</v>
      </c>
      <c r="D686" s="90" t="s">
        <v>14</v>
      </c>
      <c r="E686" s="90">
        <f>1+1+1</f>
        <v>3</v>
      </c>
      <c r="F686" s="63">
        <v>0</v>
      </c>
      <c r="G686" s="378"/>
      <c r="H686" s="113">
        <f t="shared" si="59"/>
        <v>0</v>
      </c>
      <c r="I686" s="379"/>
      <c r="J686" s="1"/>
      <c r="K686" s="1">
        <f>0.21*E686</f>
        <v>0.63</v>
      </c>
      <c r="P686" s="1"/>
      <c r="Q686" s="1"/>
      <c r="R686" s="1"/>
      <c r="S686" s="1"/>
    </row>
    <row r="687" spans="1:19" ht="33" customHeight="1" x14ac:dyDescent="0.25">
      <c r="A687" s="10" t="s">
        <v>406</v>
      </c>
      <c r="B687" s="233" t="s">
        <v>13</v>
      </c>
      <c r="C687" s="128" t="s">
        <v>334</v>
      </c>
      <c r="D687" s="90" t="s">
        <v>14</v>
      </c>
      <c r="E687" s="90">
        <v>1</v>
      </c>
      <c r="F687" s="63">
        <v>0</v>
      </c>
      <c r="G687" s="378"/>
      <c r="H687" s="113">
        <f t="shared" si="59"/>
        <v>0</v>
      </c>
      <c r="I687" s="379"/>
      <c r="J687" s="1"/>
      <c r="K687" s="1">
        <f>1*0.29</f>
        <v>0.28999999999999998</v>
      </c>
      <c r="P687" s="1"/>
      <c r="Q687" s="1"/>
      <c r="R687" s="1"/>
      <c r="S687" s="1"/>
    </row>
    <row r="688" spans="1:19" ht="33" customHeight="1" x14ac:dyDescent="0.25">
      <c r="A688" s="112" t="s">
        <v>407</v>
      </c>
      <c r="B688" s="233" t="s">
        <v>13</v>
      </c>
      <c r="C688" s="128" t="s">
        <v>335</v>
      </c>
      <c r="D688" s="90" t="s">
        <v>14</v>
      </c>
      <c r="E688" s="90">
        <v>1</v>
      </c>
      <c r="F688" s="63">
        <v>0</v>
      </c>
      <c r="G688" s="378"/>
      <c r="H688" s="113">
        <f t="shared" si="59"/>
        <v>0</v>
      </c>
      <c r="I688" s="379"/>
      <c r="J688" s="1"/>
      <c r="K688" s="1">
        <f>1*0.05</f>
        <v>0.05</v>
      </c>
      <c r="P688" s="1"/>
      <c r="Q688" s="1"/>
      <c r="R688" s="1"/>
      <c r="S688" s="1"/>
    </row>
    <row r="689" spans="1:19" ht="54.75" customHeight="1" x14ac:dyDescent="0.25">
      <c r="A689" s="100" t="s">
        <v>92</v>
      </c>
      <c r="B689" s="258" t="s">
        <v>9</v>
      </c>
      <c r="C689" s="250" t="s">
        <v>153</v>
      </c>
      <c r="D689" s="88" t="s">
        <v>54</v>
      </c>
      <c r="E689" s="139">
        <v>162.69</v>
      </c>
      <c r="F689" s="64"/>
      <c r="G689" s="146">
        <v>0</v>
      </c>
      <c r="H689" s="143"/>
      <c r="I689" s="65">
        <f>E689*G689</f>
        <v>0</v>
      </c>
      <c r="J689" s="1"/>
      <c r="K689" s="1">
        <f>K691+K692+K695+K696+K697</f>
        <v>162.69</v>
      </c>
      <c r="P689" s="1"/>
      <c r="Q689" s="1"/>
      <c r="R689" s="1"/>
      <c r="S689" s="1"/>
    </row>
    <row r="690" spans="1:19" ht="14.25" customHeight="1" x14ac:dyDescent="0.25">
      <c r="A690" s="112" t="s">
        <v>93</v>
      </c>
      <c r="B690" s="283" t="s">
        <v>13</v>
      </c>
      <c r="C690" s="188" t="s">
        <v>165</v>
      </c>
      <c r="D690" s="90" t="s">
        <v>38</v>
      </c>
      <c r="E690" s="284">
        <f>0.606*E689</f>
        <v>98.59</v>
      </c>
      <c r="F690" s="63">
        <v>0</v>
      </c>
      <c r="G690" s="101"/>
      <c r="H690" s="126">
        <f>E690*F690</f>
        <v>0</v>
      </c>
      <c r="I690" s="119"/>
      <c r="J690" s="1"/>
      <c r="K690" s="1"/>
      <c r="P690" s="1"/>
      <c r="Q690" s="1"/>
      <c r="R690" s="1"/>
      <c r="S690" s="1"/>
    </row>
    <row r="691" spans="1:19" ht="21" customHeight="1" x14ac:dyDescent="0.25">
      <c r="A691" s="10" t="s">
        <v>94</v>
      </c>
      <c r="B691" s="229" t="s">
        <v>13</v>
      </c>
      <c r="C691" s="70" t="s">
        <v>208</v>
      </c>
      <c r="D691" s="20" t="s">
        <v>58</v>
      </c>
      <c r="E691" s="12">
        <f>51+51.1+55+51+50.6+54.1+54.1+57.6</f>
        <v>424.5</v>
      </c>
      <c r="F691" s="14">
        <v>0</v>
      </c>
      <c r="G691" s="102"/>
      <c r="H691" s="113">
        <f>E691*F691</f>
        <v>0</v>
      </c>
      <c r="I691" s="15"/>
      <c r="J691" s="1"/>
      <c r="K691" s="1">
        <v>133.36000000000001</v>
      </c>
      <c r="P691" s="1"/>
      <c r="Q691" s="1"/>
      <c r="R691" s="1"/>
      <c r="S691" s="1"/>
    </row>
    <row r="692" spans="1:19" ht="21" customHeight="1" x14ac:dyDescent="0.25">
      <c r="A692" s="112" t="s">
        <v>95</v>
      </c>
      <c r="B692" s="229" t="s">
        <v>13</v>
      </c>
      <c r="C692" s="70" t="s">
        <v>332</v>
      </c>
      <c r="D692" s="20" t="s">
        <v>58</v>
      </c>
      <c r="E692" s="20">
        <v>53.8</v>
      </c>
      <c r="F692" s="14">
        <v>0</v>
      </c>
      <c r="G692" s="189"/>
      <c r="H692" s="113">
        <f t="shared" ref="H692:H697" si="60">E692*F692</f>
        <v>0</v>
      </c>
      <c r="I692" s="190"/>
      <c r="J692" s="1"/>
      <c r="K692" s="1">
        <v>27.04</v>
      </c>
      <c r="P692" s="1"/>
      <c r="Q692" s="1"/>
      <c r="R692" s="1"/>
      <c r="S692" s="1"/>
    </row>
    <row r="693" spans="1:19" ht="21" customHeight="1" x14ac:dyDescent="0.25">
      <c r="A693" s="10" t="s">
        <v>408</v>
      </c>
      <c r="B693" s="246" t="s">
        <v>13</v>
      </c>
      <c r="C693" s="122" t="s">
        <v>339</v>
      </c>
      <c r="D693" s="90" t="s">
        <v>14</v>
      </c>
      <c r="E693" s="90">
        <f>1+1+1+1+1+1+1+1</f>
        <v>8</v>
      </c>
      <c r="F693" s="33">
        <v>0</v>
      </c>
      <c r="G693" s="102"/>
      <c r="H693" s="113">
        <f>E693*F693</f>
        <v>0</v>
      </c>
      <c r="I693" s="15"/>
      <c r="J693" s="1"/>
      <c r="K693" s="1"/>
      <c r="P693" s="1"/>
      <c r="Q693" s="1"/>
      <c r="R693" s="1"/>
      <c r="S693" s="1"/>
    </row>
    <row r="694" spans="1:19" ht="21" customHeight="1" x14ac:dyDescent="0.25">
      <c r="A694" s="112" t="s">
        <v>409</v>
      </c>
      <c r="B694" s="246" t="s">
        <v>13</v>
      </c>
      <c r="C694" s="122" t="s">
        <v>340</v>
      </c>
      <c r="D694" s="90" t="s">
        <v>14</v>
      </c>
      <c r="E694" s="90">
        <v>1</v>
      </c>
      <c r="F694" s="33">
        <v>0</v>
      </c>
      <c r="G694" s="189"/>
      <c r="H694" s="113">
        <f>E694*F694</f>
        <v>0</v>
      </c>
      <c r="I694" s="190"/>
      <c r="J694" s="1"/>
      <c r="K694" s="1"/>
      <c r="P694" s="1"/>
      <c r="Q694" s="1"/>
      <c r="R694" s="1"/>
      <c r="S694" s="1"/>
    </row>
    <row r="695" spans="1:19" ht="14.25" customHeight="1" x14ac:dyDescent="0.25">
      <c r="A695" s="10" t="s">
        <v>410</v>
      </c>
      <c r="B695" s="233" t="s">
        <v>13</v>
      </c>
      <c r="C695" s="70" t="s">
        <v>236</v>
      </c>
      <c r="D695" s="20" t="s">
        <v>14</v>
      </c>
      <c r="E695" s="20">
        <f>2+2+2+2+2+2+2+4</f>
        <v>18</v>
      </c>
      <c r="F695" s="14">
        <v>0</v>
      </c>
      <c r="G695" s="189"/>
      <c r="H695" s="113">
        <f t="shared" si="60"/>
        <v>0</v>
      </c>
      <c r="I695" s="190"/>
      <c r="J695" s="1"/>
      <c r="K695" s="1">
        <f>E695*0.1</f>
        <v>1.8</v>
      </c>
      <c r="P695" s="1"/>
      <c r="Q695" s="1"/>
      <c r="R695" s="1"/>
      <c r="S695" s="1"/>
    </row>
    <row r="696" spans="1:19" ht="14.25" customHeight="1" x14ac:dyDescent="0.25">
      <c r="A696" s="112" t="s">
        <v>411</v>
      </c>
      <c r="B696" s="233" t="s">
        <v>13</v>
      </c>
      <c r="C696" s="70" t="s">
        <v>237</v>
      </c>
      <c r="D696" s="20" t="s">
        <v>14</v>
      </c>
      <c r="E696" s="20">
        <f>1</f>
        <v>1</v>
      </c>
      <c r="F696" s="14">
        <v>0</v>
      </c>
      <c r="G696" s="189"/>
      <c r="H696" s="113">
        <f t="shared" si="60"/>
        <v>0</v>
      </c>
      <c r="I696" s="190"/>
      <c r="J696" s="1"/>
      <c r="K696" s="1">
        <f>E696*0.07</f>
        <v>7.0000000000000007E-2</v>
      </c>
      <c r="P696" s="1"/>
      <c r="Q696" s="1"/>
      <c r="R696" s="1"/>
      <c r="S696" s="1"/>
    </row>
    <row r="697" spans="1:19" x14ac:dyDescent="0.25">
      <c r="A697" s="10" t="s">
        <v>430</v>
      </c>
      <c r="B697" s="233" t="s">
        <v>13</v>
      </c>
      <c r="C697" s="122" t="s">
        <v>449</v>
      </c>
      <c r="D697" s="90" t="s">
        <v>14</v>
      </c>
      <c r="E697" s="90">
        <v>2</v>
      </c>
      <c r="F697" s="14">
        <v>0</v>
      </c>
      <c r="G697" s="102"/>
      <c r="H697" s="113">
        <f t="shared" si="60"/>
        <v>0</v>
      </c>
      <c r="I697" s="15"/>
      <c r="J697" s="1"/>
      <c r="K697" s="1">
        <f>E697*0.21</f>
        <v>0.42</v>
      </c>
      <c r="P697" s="1"/>
      <c r="Q697" s="1"/>
      <c r="R697" s="1"/>
      <c r="S697" s="1"/>
    </row>
    <row r="698" spans="1:19" ht="42" customHeight="1" x14ac:dyDescent="0.25">
      <c r="A698" s="100" t="s">
        <v>96</v>
      </c>
      <c r="B698" s="245" t="s">
        <v>9</v>
      </c>
      <c r="C698" s="183" t="s">
        <v>336</v>
      </c>
      <c r="D698" s="88" t="s">
        <v>14</v>
      </c>
      <c r="E698" s="88">
        <v>9</v>
      </c>
      <c r="F698" s="28"/>
      <c r="G698" s="117">
        <v>0</v>
      </c>
      <c r="H698" s="103"/>
      <c r="I698" s="58">
        <f>E698*G698</f>
        <v>0</v>
      </c>
      <c r="J698" s="1"/>
      <c r="K698" s="1"/>
      <c r="P698" s="1"/>
      <c r="Q698" s="1"/>
      <c r="R698" s="1"/>
      <c r="S698" s="1"/>
    </row>
    <row r="699" spans="1:19" ht="30.75" customHeight="1" x14ac:dyDescent="0.25">
      <c r="A699" s="112" t="s">
        <v>97</v>
      </c>
      <c r="B699" s="246" t="s">
        <v>13</v>
      </c>
      <c r="C699" s="122" t="s">
        <v>337</v>
      </c>
      <c r="D699" s="90" t="s">
        <v>14</v>
      </c>
      <c r="E699" s="90">
        <v>8</v>
      </c>
      <c r="F699" s="33">
        <v>0</v>
      </c>
      <c r="G699" s="102"/>
      <c r="H699" s="113">
        <f>E699*F699</f>
        <v>0</v>
      </c>
      <c r="I699" s="15"/>
      <c r="J699" s="1"/>
      <c r="K699" s="1"/>
      <c r="P699" s="1"/>
      <c r="Q699" s="1"/>
      <c r="R699" s="1"/>
      <c r="S699" s="1"/>
    </row>
    <row r="700" spans="1:19" ht="30" customHeight="1" x14ac:dyDescent="0.25">
      <c r="A700" s="112" t="s">
        <v>98</v>
      </c>
      <c r="B700" s="246" t="s">
        <v>13</v>
      </c>
      <c r="C700" s="122" t="s">
        <v>338</v>
      </c>
      <c r="D700" s="90" t="s">
        <v>14</v>
      </c>
      <c r="E700" s="90">
        <v>1</v>
      </c>
      <c r="F700" s="33">
        <v>0</v>
      </c>
      <c r="G700" s="102"/>
      <c r="H700" s="113">
        <f>E700*F700</f>
        <v>0</v>
      </c>
      <c r="I700" s="15"/>
      <c r="J700" s="1"/>
      <c r="K700" s="1"/>
      <c r="P700" s="1"/>
      <c r="Q700" s="1"/>
      <c r="R700" s="1"/>
      <c r="S700" s="1"/>
    </row>
    <row r="701" spans="1:19" ht="38.25" customHeight="1" x14ac:dyDescent="0.25">
      <c r="A701" s="26" t="s">
        <v>99</v>
      </c>
      <c r="B701" s="239" t="s">
        <v>9</v>
      </c>
      <c r="C701" s="17" t="s">
        <v>137</v>
      </c>
      <c r="D701" s="19" t="s">
        <v>14</v>
      </c>
      <c r="E701" s="19">
        <v>2</v>
      </c>
      <c r="F701" s="28"/>
      <c r="G701" s="58">
        <v>0</v>
      </c>
      <c r="H701" s="28"/>
      <c r="I701" s="58">
        <f>E701*G701</f>
        <v>0</v>
      </c>
      <c r="J701" s="1"/>
      <c r="K701" s="1"/>
      <c r="P701" s="1"/>
      <c r="Q701" s="1"/>
      <c r="R701" s="1"/>
      <c r="S701" s="1"/>
    </row>
    <row r="702" spans="1:19" x14ac:dyDescent="0.25">
      <c r="A702" s="112" t="s">
        <v>100</v>
      </c>
      <c r="B702" s="246" t="s">
        <v>13</v>
      </c>
      <c r="C702" s="122" t="s">
        <v>341</v>
      </c>
      <c r="D702" s="90" t="s">
        <v>14</v>
      </c>
      <c r="E702" s="90">
        <f>2</f>
        <v>2</v>
      </c>
      <c r="F702" s="33">
        <v>0</v>
      </c>
      <c r="G702" s="102"/>
      <c r="H702" s="113">
        <f>E702*F702</f>
        <v>0</v>
      </c>
      <c r="I702" s="15"/>
      <c r="J702" s="1"/>
      <c r="K702" s="1"/>
      <c r="P702" s="1"/>
      <c r="Q702" s="1"/>
      <c r="R702" s="1"/>
      <c r="S702" s="1"/>
    </row>
    <row r="703" spans="1:19" ht="28.5" x14ac:dyDescent="0.25">
      <c r="A703" s="26" t="s">
        <v>105</v>
      </c>
      <c r="B703" s="239" t="s">
        <v>9</v>
      </c>
      <c r="C703" s="17" t="s">
        <v>502</v>
      </c>
      <c r="D703" s="19" t="s">
        <v>14</v>
      </c>
      <c r="E703" s="19">
        <v>4</v>
      </c>
      <c r="F703" s="28"/>
      <c r="G703" s="58">
        <v>0</v>
      </c>
      <c r="H703" s="28"/>
      <c r="I703" s="58">
        <f>E703*G703</f>
        <v>0</v>
      </c>
      <c r="J703" s="1"/>
      <c r="K703" s="1"/>
      <c r="P703" s="1"/>
      <c r="Q703" s="1"/>
      <c r="R703" s="1"/>
      <c r="S703" s="1"/>
    </row>
    <row r="704" spans="1:19" ht="14.25" customHeight="1" x14ac:dyDescent="0.25">
      <c r="A704" s="112" t="s">
        <v>149</v>
      </c>
      <c r="B704" s="246" t="s">
        <v>13</v>
      </c>
      <c r="C704" s="122" t="s">
        <v>342</v>
      </c>
      <c r="D704" s="90" t="s">
        <v>14</v>
      </c>
      <c r="E704" s="90">
        <v>3</v>
      </c>
      <c r="F704" s="33">
        <v>0</v>
      </c>
      <c r="G704" s="102"/>
      <c r="H704" s="113">
        <f>E704*F704</f>
        <v>0</v>
      </c>
      <c r="I704" s="15"/>
      <c r="J704" s="1"/>
      <c r="K704" s="1"/>
      <c r="P704" s="1"/>
      <c r="Q704" s="1"/>
      <c r="R704" s="1"/>
      <c r="S704" s="1"/>
    </row>
    <row r="705" spans="1:19" ht="14.25" customHeight="1" x14ac:dyDescent="0.25">
      <c r="A705" s="112" t="s">
        <v>139</v>
      </c>
      <c r="B705" s="246" t="s">
        <v>13</v>
      </c>
      <c r="C705" s="122" t="s">
        <v>343</v>
      </c>
      <c r="D705" s="90"/>
      <c r="E705" s="90">
        <v>1</v>
      </c>
      <c r="F705" s="33">
        <v>0</v>
      </c>
      <c r="G705" s="102"/>
      <c r="H705" s="113">
        <f>E705*F705</f>
        <v>0</v>
      </c>
      <c r="I705" s="15"/>
      <c r="J705" s="1"/>
      <c r="K705" s="1"/>
      <c r="P705" s="1"/>
      <c r="Q705" s="1"/>
      <c r="R705" s="1"/>
      <c r="S705" s="1"/>
    </row>
    <row r="706" spans="1:19" ht="14.25" customHeight="1" x14ac:dyDescent="0.25">
      <c r="A706" s="100" t="s">
        <v>108</v>
      </c>
      <c r="B706" s="245" t="s">
        <v>9</v>
      </c>
      <c r="C706" s="183" t="s">
        <v>344</v>
      </c>
      <c r="D706" s="88" t="s">
        <v>14</v>
      </c>
      <c r="E706" s="88">
        <v>3</v>
      </c>
      <c r="F706" s="28"/>
      <c r="G706" s="117">
        <v>0</v>
      </c>
      <c r="H706" s="103"/>
      <c r="I706" s="58">
        <f>E706*G706</f>
        <v>0</v>
      </c>
      <c r="J706" s="1"/>
      <c r="K706" s="1"/>
      <c r="P706" s="1"/>
      <c r="Q706" s="1"/>
      <c r="R706" s="1"/>
      <c r="S706" s="1"/>
    </row>
    <row r="707" spans="1:19" ht="14.25" customHeight="1" x14ac:dyDescent="0.25">
      <c r="A707" s="10" t="s">
        <v>106</v>
      </c>
      <c r="B707" s="220" t="s">
        <v>13</v>
      </c>
      <c r="C707" s="70" t="s">
        <v>345</v>
      </c>
      <c r="D707" s="90" t="s">
        <v>14</v>
      </c>
      <c r="E707" s="90">
        <v>3</v>
      </c>
      <c r="F707" s="33">
        <v>0</v>
      </c>
      <c r="G707" s="102"/>
      <c r="H707" s="113">
        <f>E707*F707</f>
        <v>0</v>
      </c>
      <c r="I707" s="15"/>
      <c r="J707" s="1"/>
      <c r="K707" s="1"/>
      <c r="P707" s="1"/>
      <c r="Q707" s="1"/>
      <c r="R707" s="1"/>
      <c r="S707" s="1"/>
    </row>
    <row r="708" spans="1:19" ht="33" customHeight="1" x14ac:dyDescent="0.25">
      <c r="A708" s="87" t="s">
        <v>109</v>
      </c>
      <c r="B708" s="222" t="s">
        <v>9</v>
      </c>
      <c r="C708" s="149" t="s">
        <v>247</v>
      </c>
      <c r="D708" s="139" t="s">
        <v>14</v>
      </c>
      <c r="E708" s="139">
        <v>1</v>
      </c>
      <c r="F708" s="150"/>
      <c r="G708" s="146">
        <v>0</v>
      </c>
      <c r="H708" s="143"/>
      <c r="I708" s="65">
        <f>E708*G708</f>
        <v>0</v>
      </c>
      <c r="J708" s="1"/>
      <c r="K708" s="1"/>
      <c r="P708" s="1"/>
      <c r="Q708" s="1"/>
      <c r="R708" s="1"/>
      <c r="S708" s="1"/>
    </row>
    <row r="709" spans="1:19" ht="38.25" customHeight="1" x14ac:dyDescent="0.25">
      <c r="A709" s="89" t="s">
        <v>110</v>
      </c>
      <c r="B709" s="223" t="s">
        <v>13</v>
      </c>
      <c r="C709" s="137" t="s">
        <v>248</v>
      </c>
      <c r="D709" s="125" t="s">
        <v>14</v>
      </c>
      <c r="E709" s="125">
        <v>1</v>
      </c>
      <c r="F709" s="62">
        <v>0</v>
      </c>
      <c r="G709" s="101"/>
      <c r="H709" s="126">
        <f>E709*F709</f>
        <v>0</v>
      </c>
      <c r="I709" s="119"/>
      <c r="J709" s="1"/>
      <c r="K709" s="1"/>
      <c r="P709" s="1"/>
      <c r="Q709" s="1"/>
      <c r="R709" s="1"/>
      <c r="S709" s="1"/>
    </row>
    <row r="710" spans="1:19" ht="32.25" customHeight="1" x14ac:dyDescent="0.25">
      <c r="A710" s="87" t="s">
        <v>112</v>
      </c>
      <c r="B710" s="222" t="s">
        <v>9</v>
      </c>
      <c r="C710" s="149" t="s">
        <v>10</v>
      </c>
      <c r="D710" s="139" t="s">
        <v>14</v>
      </c>
      <c r="E710" s="139">
        <v>9</v>
      </c>
      <c r="F710" s="150"/>
      <c r="G710" s="146">
        <v>0</v>
      </c>
      <c r="H710" s="143"/>
      <c r="I710" s="65">
        <f>E710*G710</f>
        <v>0</v>
      </c>
      <c r="J710" s="1"/>
      <c r="K710" s="1"/>
      <c r="P710" s="1"/>
      <c r="Q710" s="1"/>
      <c r="R710" s="1"/>
      <c r="S710" s="1"/>
    </row>
    <row r="711" spans="1:19" ht="35.25" customHeight="1" x14ac:dyDescent="0.25">
      <c r="A711" s="157" t="s">
        <v>113</v>
      </c>
      <c r="B711" s="247" t="s">
        <v>13</v>
      </c>
      <c r="C711" s="73" t="s">
        <v>249</v>
      </c>
      <c r="D711" s="158" t="s">
        <v>14</v>
      </c>
      <c r="E711" s="158">
        <v>8</v>
      </c>
      <c r="F711" s="159">
        <v>0</v>
      </c>
      <c r="G711" s="160"/>
      <c r="H711" s="113">
        <f>E711*F711</f>
        <v>0</v>
      </c>
      <c r="I711" s="162"/>
      <c r="J711" s="1"/>
      <c r="K711" s="1"/>
      <c r="P711" s="1"/>
      <c r="Q711" s="1"/>
      <c r="R711" s="1"/>
      <c r="S711" s="1"/>
    </row>
    <row r="712" spans="1:19" ht="33.75" customHeight="1" x14ac:dyDescent="0.25">
      <c r="A712" s="10" t="s">
        <v>114</v>
      </c>
      <c r="B712" s="247" t="s">
        <v>13</v>
      </c>
      <c r="C712" s="382" t="s">
        <v>346</v>
      </c>
      <c r="D712" s="20" t="s">
        <v>14</v>
      </c>
      <c r="E712" s="20">
        <v>1</v>
      </c>
      <c r="F712" s="33">
        <v>0</v>
      </c>
      <c r="G712" s="102"/>
      <c r="H712" s="161">
        <f>E712*F712</f>
        <v>0</v>
      </c>
      <c r="I712" s="15"/>
      <c r="J712" s="1"/>
      <c r="K712" s="1"/>
      <c r="P712" s="1"/>
      <c r="Q712" s="1"/>
      <c r="R712" s="1"/>
      <c r="S712" s="1"/>
    </row>
    <row r="713" spans="1:19" ht="27" customHeight="1" x14ac:dyDescent="0.25">
      <c r="A713" s="16" t="s">
        <v>115</v>
      </c>
      <c r="B713" s="217" t="s">
        <v>9</v>
      </c>
      <c r="C713" s="383" t="s">
        <v>240</v>
      </c>
      <c r="D713" s="22" t="s">
        <v>14</v>
      </c>
      <c r="E713" s="22">
        <v>9</v>
      </c>
      <c r="F713" s="23"/>
      <c r="G713" s="118">
        <v>0</v>
      </c>
      <c r="H713" s="103"/>
      <c r="I713" s="24">
        <f>E713*G713</f>
        <v>0</v>
      </c>
      <c r="J713" s="1"/>
      <c r="K713" s="1"/>
      <c r="P713" s="1"/>
      <c r="Q713" s="1"/>
      <c r="R713" s="1"/>
      <c r="S713" s="1"/>
    </row>
    <row r="714" spans="1:19" ht="30" x14ac:dyDescent="0.25">
      <c r="A714" s="10" t="s">
        <v>116</v>
      </c>
      <c r="B714" s="218" t="s">
        <v>13</v>
      </c>
      <c r="C714" s="128" t="s">
        <v>241</v>
      </c>
      <c r="D714" s="25" t="s">
        <v>14</v>
      </c>
      <c r="E714" s="25">
        <v>8</v>
      </c>
      <c r="F714" s="147">
        <v>0</v>
      </c>
      <c r="G714" s="369"/>
      <c r="H714" s="148">
        <f>E714*F714</f>
        <v>0</v>
      </c>
      <c r="I714" s="15"/>
      <c r="J714" s="1"/>
      <c r="K714" s="1"/>
      <c r="P714" s="1"/>
      <c r="Q714" s="1"/>
      <c r="R714" s="1"/>
      <c r="S714" s="1"/>
    </row>
    <row r="715" spans="1:19" ht="28.5" customHeight="1" x14ac:dyDescent="0.25">
      <c r="A715" s="112" t="s">
        <v>117</v>
      </c>
      <c r="B715" s="218" t="s">
        <v>13</v>
      </c>
      <c r="C715" s="128" t="s">
        <v>347</v>
      </c>
      <c r="D715" s="25" t="s">
        <v>14</v>
      </c>
      <c r="E715" s="90">
        <v>1</v>
      </c>
      <c r="F715" s="147">
        <v>0</v>
      </c>
      <c r="G715" s="102"/>
      <c r="H715" s="148">
        <f t="shared" ref="H715" si="61">E715*F715</f>
        <v>0</v>
      </c>
      <c r="I715" s="15"/>
      <c r="J715" s="1"/>
      <c r="K715" s="1"/>
      <c r="P715" s="1"/>
      <c r="Q715" s="1"/>
      <c r="R715" s="1"/>
      <c r="S715" s="1"/>
    </row>
    <row r="716" spans="1:19" ht="33.75" customHeight="1" x14ac:dyDescent="0.25">
      <c r="A716" s="95" t="s">
        <v>118</v>
      </c>
      <c r="B716" s="259" t="s">
        <v>9</v>
      </c>
      <c r="C716" s="17" t="s">
        <v>211</v>
      </c>
      <c r="D716" s="19" t="s">
        <v>54</v>
      </c>
      <c r="E716" s="12">
        <v>177.3</v>
      </c>
      <c r="F716" s="33"/>
      <c r="G716" s="102">
        <v>0</v>
      </c>
      <c r="H716" s="113"/>
      <c r="I716" s="15">
        <f>E716*G716</f>
        <v>0</v>
      </c>
      <c r="J716" s="1"/>
      <c r="K716" s="1">
        <f>16.8+16.8+18+18.2+16.7+18.1+28.2+22</f>
        <v>154.80000000000001</v>
      </c>
      <c r="P716" s="1"/>
      <c r="Q716" s="1"/>
      <c r="R716" s="1"/>
      <c r="S716" s="1"/>
    </row>
    <row r="717" spans="1:19" ht="14.25" customHeight="1" x14ac:dyDescent="0.25">
      <c r="A717" s="93" t="s">
        <v>119</v>
      </c>
      <c r="B717" s="247" t="s">
        <v>13</v>
      </c>
      <c r="C717" s="188" t="s">
        <v>209</v>
      </c>
      <c r="D717" s="90" t="s">
        <v>54</v>
      </c>
      <c r="E717" s="12">
        <f>1.1*E716</f>
        <v>195.03</v>
      </c>
      <c r="F717" s="33">
        <v>0</v>
      </c>
      <c r="G717" s="102"/>
      <c r="H717" s="113">
        <f>E717*F717</f>
        <v>0</v>
      </c>
      <c r="I717" s="15"/>
      <c r="J717" s="1"/>
      <c r="K717" s="1"/>
      <c r="P717" s="1"/>
      <c r="Q717" s="1"/>
      <c r="R717" s="1"/>
      <c r="S717" s="1"/>
    </row>
    <row r="718" spans="1:19" ht="14.25" customHeight="1" thickBot="1" x14ac:dyDescent="0.3">
      <c r="A718" s="131" t="s">
        <v>120</v>
      </c>
      <c r="B718" s="248" t="s">
        <v>13</v>
      </c>
      <c r="C718" s="55" t="s">
        <v>210</v>
      </c>
      <c r="D718" s="94" t="s">
        <v>38</v>
      </c>
      <c r="E718" s="141">
        <f>0.7*E716</f>
        <v>124.11</v>
      </c>
      <c r="F718" s="186">
        <v>0</v>
      </c>
      <c r="G718" s="114"/>
      <c r="H718" s="120">
        <f>E718*F718</f>
        <v>0</v>
      </c>
      <c r="I718" s="127"/>
      <c r="J718" s="1"/>
      <c r="K718" s="1"/>
      <c r="P718" s="1"/>
      <c r="Q718" s="1"/>
      <c r="R718" s="1"/>
      <c r="S718" s="1"/>
    </row>
    <row r="719" spans="1:19" ht="14.25" customHeight="1" thickBot="1" x14ac:dyDescent="0.3">
      <c r="A719" s="45"/>
      <c r="B719" s="244"/>
      <c r="C719" s="278" t="s">
        <v>417</v>
      </c>
      <c r="D719" s="48"/>
      <c r="E719" s="48"/>
      <c r="F719" s="99"/>
      <c r="G719" s="109"/>
      <c r="H719" s="121">
        <f>SUM(H678:H718)</f>
        <v>0</v>
      </c>
      <c r="I719" s="86">
        <f>SUM(I677:I718)</f>
        <v>0</v>
      </c>
      <c r="J719" s="1"/>
      <c r="K719" s="1"/>
      <c r="P719" s="1"/>
      <c r="Q719" s="1"/>
      <c r="R719" s="1"/>
      <c r="S719" s="1"/>
    </row>
    <row r="720" spans="1:19" ht="14.25" customHeight="1" thickBot="1" x14ac:dyDescent="0.3">
      <c r="A720" s="45"/>
      <c r="B720" s="244"/>
      <c r="C720" s="290" t="s">
        <v>45</v>
      </c>
      <c r="D720" s="48"/>
      <c r="E720" s="48"/>
      <c r="F720" s="99"/>
      <c r="G720" s="109"/>
      <c r="H720" s="121">
        <f>H644+H654+H675+H719</f>
        <v>0</v>
      </c>
      <c r="I720" s="86">
        <f>I644+I654+I675+I719</f>
        <v>0</v>
      </c>
      <c r="J720" s="1"/>
      <c r="K720" s="1"/>
      <c r="P720" s="1"/>
      <c r="Q720" s="1"/>
      <c r="R720" s="1"/>
      <c r="S720" s="1"/>
    </row>
    <row r="721" spans="1:19" ht="14.25" customHeight="1" thickBot="1" x14ac:dyDescent="0.3">
      <c r="A721" s="181"/>
      <c r="B721" s="243"/>
      <c r="C721" s="290" t="s">
        <v>450</v>
      </c>
      <c r="D721" s="176"/>
      <c r="E721" s="176"/>
      <c r="F721" s="289"/>
      <c r="G721" s="154"/>
      <c r="H721" s="273"/>
      <c r="I721" s="274">
        <f>H720+I720</f>
        <v>0</v>
      </c>
      <c r="J721" s="1"/>
      <c r="K721" s="1"/>
      <c r="P721" s="1"/>
      <c r="Q721" s="1"/>
      <c r="R721" s="1"/>
      <c r="S721" s="1"/>
    </row>
    <row r="722" spans="1:19" ht="14.25" customHeight="1" thickBot="1" x14ac:dyDescent="0.3">
      <c r="A722" s="45"/>
      <c r="B722" s="46" t="s">
        <v>251</v>
      </c>
      <c r="C722" s="145" t="s">
        <v>250</v>
      </c>
      <c r="D722" s="48"/>
      <c r="E722" s="48"/>
      <c r="F722" s="99"/>
      <c r="G722" s="109"/>
      <c r="H722" s="121"/>
      <c r="I722" s="52"/>
      <c r="J722" s="1"/>
      <c r="K722" s="1"/>
      <c r="P722" s="1"/>
      <c r="Q722" s="1"/>
      <c r="R722" s="1"/>
      <c r="S722" s="1"/>
    </row>
    <row r="723" spans="1:19" ht="14.25" customHeight="1" thickBot="1" x14ac:dyDescent="0.3">
      <c r="A723" s="45"/>
      <c r="B723" s="244"/>
      <c r="C723" s="145" t="s">
        <v>348</v>
      </c>
      <c r="D723" s="48"/>
      <c r="E723" s="48"/>
      <c r="F723" s="99"/>
      <c r="G723" s="109"/>
      <c r="H723" s="121"/>
      <c r="I723" s="52"/>
      <c r="J723" s="1"/>
      <c r="K723" s="1"/>
      <c r="P723" s="1"/>
      <c r="Q723" s="1"/>
      <c r="R723" s="1"/>
      <c r="S723" s="1"/>
    </row>
    <row r="724" spans="1:19" ht="30.75" customHeight="1" x14ac:dyDescent="0.25">
      <c r="A724" s="4">
        <v>1</v>
      </c>
      <c r="B724" s="226" t="s">
        <v>9</v>
      </c>
      <c r="C724" s="5" t="s">
        <v>25</v>
      </c>
      <c r="D724" s="171" t="s">
        <v>11</v>
      </c>
      <c r="E724" s="4">
        <v>1</v>
      </c>
      <c r="F724" s="6"/>
      <c r="G724" s="172">
        <v>0</v>
      </c>
      <c r="H724" s="6"/>
      <c r="I724" s="42">
        <f>E724*G724</f>
        <v>0</v>
      </c>
      <c r="J724" s="1"/>
      <c r="K724" s="1"/>
      <c r="P724" s="1"/>
      <c r="Q724" s="1"/>
      <c r="R724" s="1"/>
      <c r="S724" s="1"/>
    </row>
    <row r="725" spans="1:19" ht="14.25" customHeight="1" x14ac:dyDescent="0.25">
      <c r="A725" s="10" t="s">
        <v>12</v>
      </c>
      <c r="B725" s="211" t="s">
        <v>13</v>
      </c>
      <c r="C725" s="70" t="s">
        <v>253</v>
      </c>
      <c r="D725" s="12" t="s">
        <v>14</v>
      </c>
      <c r="E725" s="12">
        <v>1</v>
      </c>
      <c r="F725" s="14">
        <v>0</v>
      </c>
      <c r="G725" s="102"/>
      <c r="H725" s="113">
        <f>E725*F725</f>
        <v>0</v>
      </c>
      <c r="I725" s="15"/>
      <c r="J725" s="1"/>
      <c r="K725" s="1"/>
      <c r="P725" s="1"/>
      <c r="Q725" s="1"/>
      <c r="R725" s="1"/>
      <c r="S725" s="1"/>
    </row>
    <row r="726" spans="1:19" ht="14.25" customHeight="1" x14ac:dyDescent="0.25">
      <c r="A726" s="10" t="s">
        <v>15</v>
      </c>
      <c r="B726" s="211" t="s">
        <v>13</v>
      </c>
      <c r="C726" s="70" t="s">
        <v>254</v>
      </c>
      <c r="D726" s="12" t="s">
        <v>14</v>
      </c>
      <c r="E726" s="12">
        <v>1</v>
      </c>
      <c r="F726" s="14">
        <v>0</v>
      </c>
      <c r="G726" s="102"/>
      <c r="H726" s="113">
        <f>E726*F726</f>
        <v>0</v>
      </c>
      <c r="I726" s="15"/>
      <c r="J726" s="1"/>
      <c r="K726" s="1"/>
      <c r="P726" s="1"/>
      <c r="Q726" s="1"/>
      <c r="R726" s="1"/>
      <c r="S726" s="1"/>
    </row>
    <row r="727" spans="1:19" ht="32.25" customHeight="1" x14ac:dyDescent="0.25">
      <c r="A727" s="16" t="s">
        <v>473</v>
      </c>
      <c r="B727" s="212" t="s">
        <v>9</v>
      </c>
      <c r="C727" s="295" t="s">
        <v>803</v>
      </c>
      <c r="D727" s="18" t="s">
        <v>472</v>
      </c>
      <c r="E727" s="18">
        <v>5</v>
      </c>
      <c r="F727" s="13"/>
      <c r="G727" s="117">
        <v>0</v>
      </c>
      <c r="H727" s="103"/>
      <c r="I727" s="58">
        <f>E727*G727</f>
        <v>0</v>
      </c>
      <c r="J727" s="1"/>
      <c r="K727" s="1"/>
      <c r="P727" s="1"/>
      <c r="Q727" s="1"/>
      <c r="R727" s="1"/>
      <c r="S727" s="1"/>
    </row>
    <row r="728" spans="1:19" ht="53.25" customHeight="1" x14ac:dyDescent="0.25">
      <c r="A728" s="16" t="s">
        <v>16</v>
      </c>
      <c r="B728" s="215" t="s">
        <v>9</v>
      </c>
      <c r="C728" s="295" t="s">
        <v>255</v>
      </c>
      <c r="D728" s="18" t="s">
        <v>54</v>
      </c>
      <c r="E728" s="18">
        <v>8.09</v>
      </c>
      <c r="F728" s="13"/>
      <c r="G728" s="117">
        <v>0</v>
      </c>
      <c r="H728" s="103"/>
      <c r="I728" s="58">
        <f>E728*G728</f>
        <v>0</v>
      </c>
      <c r="J728" s="1"/>
      <c r="K728" s="1"/>
      <c r="P728" s="1"/>
      <c r="Q728" s="1"/>
      <c r="R728" s="1"/>
      <c r="S728" s="1"/>
    </row>
    <row r="729" spans="1:19" ht="14.25" customHeight="1" x14ac:dyDescent="0.25">
      <c r="A729" s="10" t="s">
        <v>17</v>
      </c>
      <c r="B729" s="227" t="s">
        <v>13</v>
      </c>
      <c r="C729" s="70" t="s">
        <v>165</v>
      </c>
      <c r="D729" s="12" t="s">
        <v>38</v>
      </c>
      <c r="E729" s="78">
        <f>2.55*E728</f>
        <v>20.63</v>
      </c>
      <c r="F729" s="14">
        <v>0</v>
      </c>
      <c r="G729" s="102"/>
      <c r="H729" s="113">
        <f>E729*F729</f>
        <v>0</v>
      </c>
      <c r="I729" s="15"/>
      <c r="J729" s="1"/>
      <c r="K729" s="1"/>
      <c r="P729" s="1"/>
      <c r="Q729" s="1"/>
      <c r="R729" s="1"/>
      <c r="S729" s="1"/>
    </row>
    <row r="730" spans="1:19" ht="31.5" customHeight="1" x14ac:dyDescent="0.25">
      <c r="A730" s="10" t="s">
        <v>18</v>
      </c>
      <c r="B730" s="211" t="s">
        <v>13</v>
      </c>
      <c r="C730" s="70" t="s">
        <v>256</v>
      </c>
      <c r="D730" s="12" t="s">
        <v>58</v>
      </c>
      <c r="E730" s="12">
        <v>1.7</v>
      </c>
      <c r="F730" s="14">
        <v>0</v>
      </c>
      <c r="G730" s="102"/>
      <c r="H730" s="113">
        <f>E730*F730</f>
        <v>0</v>
      </c>
      <c r="I730" s="15"/>
      <c r="J730" s="1"/>
      <c r="K730" s="1">
        <v>4.2699999999999996</v>
      </c>
      <c r="P730" s="1"/>
      <c r="Q730" s="1"/>
      <c r="R730" s="1"/>
      <c r="S730" s="1"/>
    </row>
    <row r="731" spans="1:19" ht="14.25" customHeight="1" x14ac:dyDescent="0.25">
      <c r="A731" s="10" t="s">
        <v>47</v>
      </c>
      <c r="B731" s="211" t="s">
        <v>13</v>
      </c>
      <c r="C731" s="70" t="s">
        <v>257</v>
      </c>
      <c r="D731" s="12" t="s">
        <v>14</v>
      </c>
      <c r="E731" s="12">
        <v>2</v>
      </c>
      <c r="F731" s="14">
        <v>0</v>
      </c>
      <c r="G731" s="102"/>
      <c r="H731" s="113">
        <f>E731*F731</f>
        <v>0</v>
      </c>
      <c r="I731" s="15"/>
      <c r="J731" s="1"/>
      <c r="K731" s="1">
        <f>1.91*E731</f>
        <v>3.82</v>
      </c>
      <c r="P731" s="1"/>
      <c r="Q731" s="1"/>
      <c r="R731" s="1"/>
      <c r="S731" s="1"/>
    </row>
    <row r="732" spans="1:19" ht="14.25" customHeight="1" x14ac:dyDescent="0.25">
      <c r="A732" s="10" t="s">
        <v>49</v>
      </c>
      <c r="B732" s="211" t="s">
        <v>13</v>
      </c>
      <c r="C732" s="70" t="s">
        <v>258</v>
      </c>
      <c r="D732" s="12" t="s">
        <v>54</v>
      </c>
      <c r="E732" s="12">
        <v>0.5</v>
      </c>
      <c r="F732" s="14">
        <v>0</v>
      </c>
      <c r="G732" s="102"/>
      <c r="H732" s="113">
        <f t="shared" ref="H732:H733" si="62">E732*F732</f>
        <v>0</v>
      </c>
      <c r="I732" s="15"/>
      <c r="J732" s="1"/>
      <c r="K732" s="1"/>
      <c r="P732" s="1"/>
      <c r="Q732" s="1"/>
      <c r="R732" s="1"/>
      <c r="S732" s="1"/>
    </row>
    <row r="733" spans="1:19" ht="14.25" customHeight="1" x14ac:dyDescent="0.25">
      <c r="A733" s="10" t="s">
        <v>50</v>
      </c>
      <c r="B733" s="211" t="s">
        <v>13</v>
      </c>
      <c r="C733" s="70" t="s">
        <v>259</v>
      </c>
      <c r="D733" s="12" t="s">
        <v>14</v>
      </c>
      <c r="E733" s="12">
        <v>1</v>
      </c>
      <c r="F733" s="14">
        <v>0</v>
      </c>
      <c r="G733" s="102"/>
      <c r="H733" s="113">
        <f t="shared" si="62"/>
        <v>0</v>
      </c>
      <c r="I733" s="15"/>
      <c r="J733" s="1"/>
      <c r="K733" s="1"/>
      <c r="P733" s="1"/>
      <c r="Q733" s="1"/>
      <c r="R733" s="1"/>
      <c r="S733" s="1"/>
    </row>
    <row r="734" spans="1:19" ht="33.75" customHeight="1" x14ac:dyDescent="0.25">
      <c r="A734" s="16" t="s">
        <v>19</v>
      </c>
      <c r="B734" s="215" t="s">
        <v>9</v>
      </c>
      <c r="C734" s="17" t="s">
        <v>261</v>
      </c>
      <c r="D734" s="18" t="s">
        <v>14</v>
      </c>
      <c r="E734" s="18">
        <v>2</v>
      </c>
      <c r="F734" s="13"/>
      <c r="G734" s="117">
        <v>0</v>
      </c>
      <c r="H734" s="103"/>
      <c r="I734" s="58">
        <f>E734*G734</f>
        <v>0</v>
      </c>
      <c r="J734" s="1"/>
      <c r="K734" s="1"/>
      <c r="P734" s="1"/>
      <c r="Q734" s="1"/>
      <c r="R734" s="1"/>
      <c r="S734" s="1"/>
    </row>
    <row r="735" spans="1:19" ht="35.25" customHeight="1" x14ac:dyDescent="0.25">
      <c r="A735" s="10" t="s">
        <v>21</v>
      </c>
      <c r="B735" s="211" t="s">
        <v>13</v>
      </c>
      <c r="C735" s="11" t="s">
        <v>260</v>
      </c>
      <c r="D735" s="12" t="s">
        <v>14</v>
      </c>
      <c r="E735" s="12">
        <v>1</v>
      </c>
      <c r="F735" s="14">
        <v>0</v>
      </c>
      <c r="G735" s="102"/>
      <c r="H735" s="113">
        <f>E735*F735</f>
        <v>0</v>
      </c>
      <c r="I735" s="15"/>
      <c r="J735" s="1"/>
      <c r="K735" s="1"/>
      <c r="P735" s="1"/>
      <c r="Q735" s="1"/>
      <c r="R735" s="1"/>
      <c r="S735" s="1"/>
    </row>
    <row r="736" spans="1:19" ht="32.25" customHeight="1" x14ac:dyDescent="0.25">
      <c r="A736" s="10" t="s">
        <v>22</v>
      </c>
      <c r="B736" s="211" t="s">
        <v>13</v>
      </c>
      <c r="C736" s="11" t="s">
        <v>262</v>
      </c>
      <c r="D736" s="12" t="s">
        <v>14</v>
      </c>
      <c r="E736" s="12">
        <v>1</v>
      </c>
      <c r="F736" s="14">
        <v>0</v>
      </c>
      <c r="G736" s="102"/>
      <c r="H736" s="113">
        <f>E736*F736</f>
        <v>0</v>
      </c>
      <c r="I736" s="15"/>
      <c r="J736" s="1"/>
      <c r="K736" s="1"/>
      <c r="P736" s="1"/>
      <c r="Q736" s="1"/>
      <c r="R736" s="1"/>
      <c r="S736" s="1"/>
    </row>
    <row r="737" spans="1:19" ht="37.5" customHeight="1" x14ac:dyDescent="0.25">
      <c r="A737" s="16" t="s">
        <v>23</v>
      </c>
      <c r="B737" s="215" t="s">
        <v>9</v>
      </c>
      <c r="C737" s="17" t="s">
        <v>263</v>
      </c>
      <c r="D737" s="19" t="s">
        <v>54</v>
      </c>
      <c r="E737" s="18">
        <v>12.7</v>
      </c>
      <c r="F737" s="13"/>
      <c r="G737" s="117">
        <v>0</v>
      </c>
      <c r="H737" s="103"/>
      <c r="I737" s="58">
        <f>E737*G737</f>
        <v>0</v>
      </c>
      <c r="J737" s="1"/>
      <c r="K737" s="1"/>
      <c r="P737" s="1"/>
      <c r="Q737" s="1"/>
      <c r="R737" s="1"/>
      <c r="S737" s="1"/>
    </row>
    <row r="738" spans="1:19" ht="14.25" customHeight="1" x14ac:dyDescent="0.25">
      <c r="A738" s="10" t="s">
        <v>24</v>
      </c>
      <c r="B738" s="211" t="s">
        <v>13</v>
      </c>
      <c r="C738" s="188" t="s">
        <v>264</v>
      </c>
      <c r="D738" s="90" t="s">
        <v>54</v>
      </c>
      <c r="E738" s="12">
        <f>1.1*E737</f>
        <v>13.97</v>
      </c>
      <c r="F738" s="14">
        <v>0</v>
      </c>
      <c r="G738" s="102"/>
      <c r="H738" s="113">
        <f>E738*F738</f>
        <v>0</v>
      </c>
      <c r="I738" s="15"/>
      <c r="J738" s="1"/>
      <c r="K738" s="1"/>
      <c r="P738" s="1"/>
      <c r="Q738" s="1"/>
      <c r="R738" s="1"/>
      <c r="S738" s="1"/>
    </row>
    <row r="739" spans="1:19" ht="14.25" customHeight="1" thickBot="1" x14ac:dyDescent="0.3">
      <c r="A739" s="54" t="s">
        <v>60</v>
      </c>
      <c r="B739" s="372" t="s">
        <v>13</v>
      </c>
      <c r="C739" s="91" t="s">
        <v>265</v>
      </c>
      <c r="D739" s="92" t="s">
        <v>38</v>
      </c>
      <c r="E739" s="141">
        <f>2.8*E737</f>
        <v>35.56</v>
      </c>
      <c r="F739" s="142">
        <v>0</v>
      </c>
      <c r="G739" s="114"/>
      <c r="H739" s="120">
        <f>E739*F739</f>
        <v>0</v>
      </c>
      <c r="I739" s="127"/>
      <c r="J739" s="1"/>
      <c r="K739" s="1"/>
      <c r="P739" s="1"/>
      <c r="Q739" s="1"/>
      <c r="R739" s="1"/>
      <c r="S739" s="1"/>
    </row>
    <row r="740" spans="1:19" ht="14.25" customHeight="1" thickBot="1" x14ac:dyDescent="0.3">
      <c r="A740" s="45"/>
      <c r="B740" s="380"/>
      <c r="C740" s="191"/>
      <c r="D740" s="48"/>
      <c r="E740" s="48"/>
      <c r="F740" s="132"/>
      <c r="G740" s="109"/>
      <c r="H740" s="121">
        <f>SUM(H725:H739)</f>
        <v>0</v>
      </c>
      <c r="I740" s="86">
        <f>SUM(I724:I739)</f>
        <v>0</v>
      </c>
      <c r="J740" s="1"/>
      <c r="K740" s="1"/>
      <c r="P740" s="1"/>
      <c r="Q740" s="1"/>
      <c r="R740" s="1"/>
      <c r="S740" s="1"/>
    </row>
    <row r="741" spans="1:19" ht="14.25" customHeight="1" thickBot="1" x14ac:dyDescent="0.3">
      <c r="A741" s="83"/>
      <c r="B741" s="241"/>
      <c r="C741" s="98" t="s">
        <v>349</v>
      </c>
      <c r="D741" s="48"/>
      <c r="E741" s="48"/>
      <c r="F741" s="132"/>
      <c r="G741" s="52"/>
      <c r="H741" s="132"/>
      <c r="I741" s="52"/>
      <c r="J741" s="1"/>
      <c r="K741" s="1"/>
      <c r="P741" s="1"/>
      <c r="Q741" s="1"/>
      <c r="R741" s="1"/>
      <c r="S741" s="1"/>
    </row>
    <row r="742" spans="1:19" ht="34.5" customHeight="1" x14ac:dyDescent="0.25">
      <c r="A742" s="100" t="s">
        <v>51</v>
      </c>
      <c r="B742" s="226" t="s">
        <v>9</v>
      </c>
      <c r="C742" s="5" t="s">
        <v>25</v>
      </c>
      <c r="D742" s="171" t="s">
        <v>11</v>
      </c>
      <c r="E742" s="4">
        <v>1</v>
      </c>
      <c r="F742" s="6"/>
      <c r="G742" s="172">
        <v>0</v>
      </c>
      <c r="H742" s="6"/>
      <c r="I742" s="42">
        <f>E742*G742</f>
        <v>0</v>
      </c>
      <c r="J742" s="1"/>
      <c r="K742" s="1"/>
      <c r="P742" s="1"/>
      <c r="Q742" s="1"/>
      <c r="R742" s="1"/>
      <c r="S742" s="1"/>
    </row>
    <row r="743" spans="1:19" ht="29.25" customHeight="1" x14ac:dyDescent="0.25">
      <c r="A743" s="10" t="s">
        <v>27</v>
      </c>
      <c r="B743" s="211" t="s">
        <v>13</v>
      </c>
      <c r="C743" s="277" t="s">
        <v>268</v>
      </c>
      <c r="D743" s="12" t="s">
        <v>14</v>
      </c>
      <c r="E743" s="12">
        <v>1</v>
      </c>
      <c r="F743" s="14">
        <v>0</v>
      </c>
      <c r="G743" s="102"/>
      <c r="H743" s="113">
        <f>E743*F743</f>
        <v>0</v>
      </c>
      <c r="I743" s="15"/>
      <c r="J743" s="1"/>
      <c r="K743" s="1"/>
      <c r="P743" s="1"/>
      <c r="Q743" s="1"/>
      <c r="R743" s="1"/>
      <c r="S743" s="1"/>
    </row>
    <row r="744" spans="1:19" x14ac:dyDescent="0.25">
      <c r="A744" s="10" t="s">
        <v>28</v>
      </c>
      <c r="B744" s="211" t="s">
        <v>13</v>
      </c>
      <c r="C744" s="70" t="s">
        <v>269</v>
      </c>
      <c r="D744" s="12" t="s">
        <v>14</v>
      </c>
      <c r="E744" s="12">
        <v>1</v>
      </c>
      <c r="F744" s="14">
        <v>0</v>
      </c>
      <c r="G744" s="102"/>
      <c r="H744" s="113">
        <f>E744*F744</f>
        <v>0</v>
      </c>
      <c r="I744" s="15"/>
      <c r="J744" s="1"/>
      <c r="K744" s="1"/>
      <c r="P744" s="1"/>
      <c r="Q744" s="1"/>
      <c r="R744" s="1"/>
      <c r="S744" s="1"/>
    </row>
    <row r="745" spans="1:19" ht="28.5" x14ac:dyDescent="0.25">
      <c r="A745" s="16" t="s">
        <v>474</v>
      </c>
      <c r="B745" s="294" t="s">
        <v>9</v>
      </c>
      <c r="C745" s="295" t="s">
        <v>803</v>
      </c>
      <c r="D745" s="19" t="s">
        <v>472</v>
      </c>
      <c r="E745" s="19">
        <v>5</v>
      </c>
      <c r="F745" s="13"/>
      <c r="G745" s="117">
        <v>0</v>
      </c>
      <c r="H745" s="103"/>
      <c r="I745" s="58">
        <f>E745*G745</f>
        <v>0</v>
      </c>
      <c r="J745" s="1"/>
      <c r="K745" s="1"/>
      <c r="P745" s="1"/>
      <c r="Q745" s="1"/>
      <c r="R745" s="1"/>
      <c r="S745" s="1"/>
    </row>
    <row r="746" spans="1:19" ht="44.25" customHeight="1" x14ac:dyDescent="0.25">
      <c r="A746" s="16" t="s">
        <v>29</v>
      </c>
      <c r="B746" s="228" t="s">
        <v>9</v>
      </c>
      <c r="C746" s="295" t="s">
        <v>255</v>
      </c>
      <c r="D746" s="19" t="s">
        <v>54</v>
      </c>
      <c r="E746" s="19">
        <v>7.74</v>
      </c>
      <c r="F746" s="13"/>
      <c r="G746" s="117">
        <v>0</v>
      </c>
      <c r="H746" s="103"/>
      <c r="I746" s="58">
        <f>E746*G746</f>
        <v>0</v>
      </c>
      <c r="J746" s="1"/>
      <c r="K746" s="1">
        <f>K748+K749+K752</f>
        <v>7.74</v>
      </c>
      <c r="P746" s="1"/>
      <c r="Q746" s="1"/>
      <c r="R746" s="1"/>
      <c r="S746" s="1"/>
    </row>
    <row r="747" spans="1:19" ht="14.25" customHeight="1" x14ac:dyDescent="0.25">
      <c r="A747" s="10" t="s">
        <v>31</v>
      </c>
      <c r="B747" s="227" t="s">
        <v>13</v>
      </c>
      <c r="C747" s="70" t="s">
        <v>165</v>
      </c>
      <c r="D747" s="12" t="s">
        <v>38</v>
      </c>
      <c r="E747" s="78">
        <f>2.55*E746</f>
        <v>19.739999999999998</v>
      </c>
      <c r="F747" s="14">
        <v>0</v>
      </c>
      <c r="G747" s="102"/>
      <c r="H747" s="113">
        <f>E747*F747</f>
        <v>0</v>
      </c>
      <c r="I747" s="15"/>
      <c r="J747" s="1"/>
      <c r="K747" s="1"/>
      <c r="P747" s="1"/>
      <c r="Q747" s="1"/>
      <c r="R747" s="1"/>
      <c r="S747" s="1"/>
    </row>
    <row r="748" spans="1:19" ht="14.25" customHeight="1" x14ac:dyDescent="0.25">
      <c r="A748" s="10" t="s">
        <v>63</v>
      </c>
      <c r="B748" s="211" t="s">
        <v>13</v>
      </c>
      <c r="C748" s="70" t="s">
        <v>270</v>
      </c>
      <c r="D748" s="12" t="s">
        <v>58</v>
      </c>
      <c r="E748" s="12">
        <v>2</v>
      </c>
      <c r="F748" s="14">
        <v>0</v>
      </c>
      <c r="G748" s="102"/>
      <c r="H748" s="113">
        <f>E748*F748</f>
        <v>0</v>
      </c>
      <c r="I748" s="15"/>
      <c r="J748" s="1"/>
      <c r="K748" s="1">
        <v>4.46</v>
      </c>
      <c r="P748" s="1"/>
      <c r="Q748" s="1"/>
      <c r="R748" s="1"/>
      <c r="S748" s="1"/>
    </row>
    <row r="749" spans="1:19" ht="14.25" customHeight="1" x14ac:dyDescent="0.25">
      <c r="A749" s="10" t="s">
        <v>64</v>
      </c>
      <c r="B749" s="211" t="s">
        <v>13</v>
      </c>
      <c r="C749" s="70" t="s">
        <v>272</v>
      </c>
      <c r="D749" s="12" t="s">
        <v>14</v>
      </c>
      <c r="E749" s="12">
        <v>2</v>
      </c>
      <c r="F749" s="14">
        <v>0</v>
      </c>
      <c r="G749" s="102"/>
      <c r="H749" s="113">
        <f>E749*F749</f>
        <v>0</v>
      </c>
      <c r="I749" s="15"/>
      <c r="J749" s="1"/>
      <c r="K749" s="1">
        <f>1.53*E749</f>
        <v>3.06</v>
      </c>
      <c r="P749" s="1"/>
      <c r="Q749" s="1"/>
      <c r="R749" s="1"/>
      <c r="S749" s="1"/>
    </row>
    <row r="750" spans="1:19" ht="14.25" customHeight="1" x14ac:dyDescent="0.25">
      <c r="A750" s="10" t="s">
        <v>65</v>
      </c>
      <c r="B750" s="211" t="s">
        <v>13</v>
      </c>
      <c r="C750" s="70" t="s">
        <v>258</v>
      </c>
      <c r="D750" s="12" t="s">
        <v>54</v>
      </c>
      <c r="E750" s="12">
        <v>0.4</v>
      </c>
      <c r="F750" s="14">
        <v>0</v>
      </c>
      <c r="G750" s="102"/>
      <c r="H750" s="113">
        <f t="shared" ref="H750:H752" si="63">E750*F750</f>
        <v>0</v>
      </c>
      <c r="I750" s="15"/>
      <c r="J750" s="1"/>
      <c r="K750" s="1"/>
      <c r="P750" s="1"/>
      <c r="Q750" s="1"/>
      <c r="R750" s="1"/>
      <c r="S750" s="1"/>
    </row>
    <row r="751" spans="1:19" ht="14.25" customHeight="1" x14ac:dyDescent="0.25">
      <c r="A751" s="10" t="s">
        <v>66</v>
      </c>
      <c r="B751" s="211" t="s">
        <v>13</v>
      </c>
      <c r="C751" s="70" t="s">
        <v>271</v>
      </c>
      <c r="D751" s="12" t="s">
        <v>14</v>
      </c>
      <c r="E751" s="12">
        <v>1</v>
      </c>
      <c r="F751" s="14">
        <v>0</v>
      </c>
      <c r="G751" s="102"/>
      <c r="H751" s="113">
        <f t="shared" si="63"/>
        <v>0</v>
      </c>
      <c r="I751" s="15"/>
      <c r="J751" s="1"/>
      <c r="K751" s="1"/>
      <c r="P751" s="1"/>
      <c r="Q751" s="1"/>
      <c r="R751" s="1"/>
      <c r="S751" s="1"/>
    </row>
    <row r="752" spans="1:19" ht="14.25" customHeight="1" x14ac:dyDescent="0.25">
      <c r="A752" s="10" t="s">
        <v>384</v>
      </c>
      <c r="B752" s="229" t="s">
        <v>13</v>
      </c>
      <c r="C752" s="70" t="s">
        <v>273</v>
      </c>
      <c r="D752" s="20" t="s">
        <v>14</v>
      </c>
      <c r="E752" s="20">
        <v>1</v>
      </c>
      <c r="F752" s="14">
        <v>0</v>
      </c>
      <c r="G752" s="102"/>
      <c r="H752" s="113">
        <f t="shared" si="63"/>
        <v>0</v>
      </c>
      <c r="I752" s="15"/>
      <c r="J752" s="1"/>
      <c r="K752" s="1">
        <f>0.22*E752</f>
        <v>0.22</v>
      </c>
      <c r="P752" s="1"/>
      <c r="Q752" s="1"/>
      <c r="R752" s="1"/>
      <c r="S752" s="1"/>
    </row>
    <row r="753" spans="1:19" ht="39" customHeight="1" x14ac:dyDescent="0.25">
      <c r="A753" s="16" t="s">
        <v>32</v>
      </c>
      <c r="B753" s="228" t="s">
        <v>9</v>
      </c>
      <c r="C753" s="17" t="s">
        <v>211</v>
      </c>
      <c r="D753" s="19" t="s">
        <v>54</v>
      </c>
      <c r="E753" s="18">
        <v>10.9</v>
      </c>
      <c r="F753" s="28"/>
      <c r="G753" s="117">
        <v>0</v>
      </c>
      <c r="H753" s="103"/>
      <c r="I753" s="58">
        <f>E753*G753</f>
        <v>0</v>
      </c>
      <c r="J753" s="1"/>
      <c r="K753" s="1"/>
      <c r="P753" s="1"/>
      <c r="Q753" s="1"/>
      <c r="R753" s="1"/>
      <c r="S753" s="1"/>
    </row>
    <row r="754" spans="1:19" ht="14.25" customHeight="1" x14ac:dyDescent="0.25">
      <c r="A754" s="10" t="s">
        <v>33</v>
      </c>
      <c r="B754" s="229" t="s">
        <v>13</v>
      </c>
      <c r="C754" s="188" t="s">
        <v>209</v>
      </c>
      <c r="D754" s="90" t="s">
        <v>54</v>
      </c>
      <c r="E754" s="12">
        <f>1.1*E753</f>
        <v>11.99</v>
      </c>
      <c r="F754" s="33">
        <v>0</v>
      </c>
      <c r="G754" s="102"/>
      <c r="H754" s="113">
        <f>E754*F754</f>
        <v>0</v>
      </c>
      <c r="I754" s="15"/>
      <c r="J754" s="1"/>
      <c r="K754" s="1"/>
      <c r="P754" s="1"/>
      <c r="Q754" s="1"/>
      <c r="R754" s="1"/>
      <c r="S754" s="1"/>
    </row>
    <row r="755" spans="1:19" ht="14.25" customHeight="1" x14ac:dyDescent="0.25">
      <c r="A755" s="10" t="s">
        <v>34</v>
      </c>
      <c r="B755" s="229" t="s">
        <v>13</v>
      </c>
      <c r="C755" s="188" t="s">
        <v>266</v>
      </c>
      <c r="D755" s="90" t="s">
        <v>38</v>
      </c>
      <c r="E755" s="12">
        <f>0.7*E753</f>
        <v>7.63</v>
      </c>
      <c r="F755" s="33">
        <v>0</v>
      </c>
      <c r="G755" s="102"/>
      <c r="H755" s="113">
        <f>E755*F755</f>
        <v>0</v>
      </c>
      <c r="I755" s="15"/>
      <c r="J755" s="1"/>
      <c r="K755" s="1"/>
      <c r="P755" s="1"/>
      <c r="Q755" s="1"/>
      <c r="R755" s="1"/>
      <c r="S755" s="1"/>
    </row>
    <row r="756" spans="1:19" ht="14.25" customHeight="1" x14ac:dyDescent="0.25">
      <c r="A756" s="16" t="s">
        <v>36</v>
      </c>
      <c r="B756" s="217" t="s">
        <v>9</v>
      </c>
      <c r="C756" s="17" t="s">
        <v>261</v>
      </c>
      <c r="D756" s="18" t="s">
        <v>14</v>
      </c>
      <c r="E756" s="18">
        <v>2</v>
      </c>
      <c r="F756" s="13"/>
      <c r="G756" s="117">
        <v>0</v>
      </c>
      <c r="H756" s="103"/>
      <c r="I756" s="58">
        <f>E756*G756</f>
        <v>0</v>
      </c>
      <c r="J756" s="1"/>
      <c r="K756" s="1"/>
      <c r="P756" s="1"/>
      <c r="Q756" s="1"/>
      <c r="R756" s="1"/>
      <c r="S756" s="1"/>
    </row>
    <row r="757" spans="1:19" ht="24.75" customHeight="1" x14ac:dyDescent="0.25">
      <c r="A757" s="10" t="s">
        <v>37</v>
      </c>
      <c r="B757" s="229" t="s">
        <v>13</v>
      </c>
      <c r="C757" s="11" t="s">
        <v>274</v>
      </c>
      <c r="D757" s="12" t="s">
        <v>14</v>
      </c>
      <c r="E757" s="12">
        <v>1</v>
      </c>
      <c r="F757" s="14">
        <v>0</v>
      </c>
      <c r="G757" s="102"/>
      <c r="H757" s="113">
        <f>E757*F757</f>
        <v>0</v>
      </c>
      <c r="I757" s="15"/>
      <c r="J757" s="1"/>
      <c r="K757" s="1"/>
      <c r="P757" s="1"/>
      <c r="Q757" s="1"/>
      <c r="R757" s="1"/>
      <c r="S757" s="1"/>
    </row>
    <row r="758" spans="1:19" ht="30" customHeight="1" thickBot="1" x14ac:dyDescent="0.3">
      <c r="A758" s="54" t="s">
        <v>233</v>
      </c>
      <c r="B758" s="230" t="s">
        <v>13</v>
      </c>
      <c r="C758" s="55" t="s">
        <v>275</v>
      </c>
      <c r="D758" s="141" t="s">
        <v>14</v>
      </c>
      <c r="E758" s="141">
        <v>1</v>
      </c>
      <c r="F758" s="142">
        <v>0</v>
      </c>
      <c r="G758" s="114"/>
      <c r="H758" s="120">
        <f>E758*F758</f>
        <v>0</v>
      </c>
      <c r="I758" s="127"/>
      <c r="J758" s="1"/>
      <c r="K758" s="1"/>
      <c r="P758" s="1"/>
      <c r="Q758" s="1"/>
      <c r="R758" s="1"/>
      <c r="S758" s="1"/>
    </row>
    <row r="759" spans="1:19" ht="15.75" thickBot="1" x14ac:dyDescent="0.3">
      <c r="A759" s="45"/>
      <c r="B759" s="231"/>
      <c r="C759" s="268" t="s">
        <v>417</v>
      </c>
      <c r="D759" s="48"/>
      <c r="E759" s="48"/>
      <c r="F759" s="132"/>
      <c r="G759" s="109"/>
      <c r="H759" s="121">
        <f>SUM(H743:H758)</f>
        <v>0</v>
      </c>
      <c r="I759" s="86">
        <f>SUM(I742:I758)</f>
        <v>0</v>
      </c>
      <c r="J759" s="1"/>
      <c r="K759" s="1"/>
      <c r="P759" s="1"/>
      <c r="Q759" s="1"/>
      <c r="R759" s="1"/>
      <c r="S759" s="1"/>
    </row>
    <row r="760" spans="1:19" ht="14.25" customHeight="1" thickBot="1" x14ac:dyDescent="0.3">
      <c r="A760" s="83"/>
      <c r="B760" s="241"/>
      <c r="C760" s="98" t="s">
        <v>350</v>
      </c>
      <c r="D760" s="48"/>
      <c r="E760" s="48"/>
      <c r="F760" s="132"/>
      <c r="G760" s="52"/>
      <c r="H760" s="132"/>
      <c r="I760" s="52"/>
      <c r="J760" s="1"/>
      <c r="K760" s="1"/>
      <c r="P760" s="1"/>
      <c r="Q760" s="1"/>
      <c r="R760" s="1"/>
      <c r="S760" s="1"/>
    </row>
    <row r="761" spans="1:19" ht="27" customHeight="1" x14ac:dyDescent="0.25">
      <c r="A761" s="4">
        <v>9</v>
      </c>
      <c r="B761" s="226" t="s">
        <v>9</v>
      </c>
      <c r="C761" s="5" t="s">
        <v>277</v>
      </c>
      <c r="D761" s="171" t="s">
        <v>11</v>
      </c>
      <c r="E761" s="4">
        <v>1</v>
      </c>
      <c r="F761" s="6"/>
      <c r="G761" s="172">
        <v>0</v>
      </c>
      <c r="H761" s="6"/>
      <c r="I761" s="42">
        <f>E761*G761</f>
        <v>0</v>
      </c>
      <c r="J761" s="1"/>
      <c r="K761" s="1"/>
      <c r="P761" s="1"/>
      <c r="Q761" s="1"/>
      <c r="R761" s="1"/>
      <c r="S761" s="1"/>
    </row>
    <row r="762" spans="1:19" ht="30.75" customHeight="1" x14ac:dyDescent="0.25">
      <c r="A762" s="10" t="s">
        <v>40</v>
      </c>
      <c r="B762" s="211" t="s">
        <v>13</v>
      </c>
      <c r="C762" s="70" t="s">
        <v>278</v>
      </c>
      <c r="D762" s="12" t="s">
        <v>14</v>
      </c>
      <c r="E762" s="12">
        <v>1</v>
      </c>
      <c r="F762" s="14">
        <v>0</v>
      </c>
      <c r="G762" s="102"/>
      <c r="H762" s="113">
        <f>E762*F762</f>
        <v>0</v>
      </c>
      <c r="I762" s="15"/>
      <c r="J762" s="1"/>
      <c r="K762" s="1"/>
      <c r="P762" s="1"/>
      <c r="Q762" s="1"/>
      <c r="R762" s="1"/>
      <c r="S762" s="1"/>
    </row>
    <row r="763" spans="1:19" ht="14.25" customHeight="1" x14ac:dyDescent="0.25">
      <c r="A763" s="10" t="s">
        <v>41</v>
      </c>
      <c r="B763" s="211" t="s">
        <v>13</v>
      </c>
      <c r="C763" s="70" t="s">
        <v>279</v>
      </c>
      <c r="D763" s="12" t="s">
        <v>14</v>
      </c>
      <c r="E763" s="12">
        <v>1</v>
      </c>
      <c r="F763" s="14">
        <v>0</v>
      </c>
      <c r="G763" s="102"/>
      <c r="H763" s="113">
        <f>E763*F763</f>
        <v>0</v>
      </c>
      <c r="I763" s="15"/>
      <c r="J763" s="1"/>
      <c r="K763" s="1"/>
      <c r="P763" s="1"/>
      <c r="Q763" s="1"/>
      <c r="R763" s="1"/>
      <c r="S763" s="1"/>
    </row>
    <row r="764" spans="1:19" ht="38.25" customHeight="1" x14ac:dyDescent="0.25">
      <c r="A764" s="16" t="s">
        <v>475</v>
      </c>
      <c r="B764" s="212" t="s">
        <v>9</v>
      </c>
      <c r="C764" s="295" t="s">
        <v>803</v>
      </c>
      <c r="D764" s="18" t="s">
        <v>472</v>
      </c>
      <c r="E764" s="18">
        <v>5</v>
      </c>
      <c r="F764" s="13"/>
      <c r="G764" s="117">
        <v>0</v>
      </c>
      <c r="H764" s="103"/>
      <c r="I764" s="58">
        <f>E764*G764</f>
        <v>0</v>
      </c>
      <c r="J764" s="1"/>
      <c r="K764" s="1"/>
      <c r="P764" s="1"/>
      <c r="Q764" s="1"/>
      <c r="R764" s="1"/>
      <c r="S764" s="1"/>
    </row>
    <row r="765" spans="1:19" ht="29.25" customHeight="1" x14ac:dyDescent="0.25">
      <c r="A765" s="16" t="s">
        <v>242</v>
      </c>
      <c r="B765" s="215" t="s">
        <v>9</v>
      </c>
      <c r="C765" s="295" t="s">
        <v>280</v>
      </c>
      <c r="D765" s="18" t="s">
        <v>14</v>
      </c>
      <c r="E765" s="18">
        <v>1</v>
      </c>
      <c r="F765" s="13"/>
      <c r="G765" s="117">
        <v>0</v>
      </c>
      <c r="H765" s="103"/>
      <c r="I765" s="58">
        <f>E765*G765</f>
        <v>0</v>
      </c>
      <c r="J765" s="1"/>
      <c r="K765" s="1"/>
      <c r="P765" s="1"/>
      <c r="Q765" s="1"/>
      <c r="R765" s="1"/>
      <c r="S765" s="1"/>
    </row>
    <row r="766" spans="1:19" ht="24.75" customHeight="1" x14ac:dyDescent="0.25">
      <c r="A766" s="10" t="s">
        <v>42</v>
      </c>
      <c r="B766" s="211" t="s">
        <v>13</v>
      </c>
      <c r="C766" s="70" t="s">
        <v>281</v>
      </c>
      <c r="D766" s="12" t="s">
        <v>14</v>
      </c>
      <c r="E766" s="12">
        <v>1</v>
      </c>
      <c r="F766" s="14">
        <v>0</v>
      </c>
      <c r="G766" s="102"/>
      <c r="H766" s="113">
        <f>E766*F766</f>
        <v>0</v>
      </c>
      <c r="I766" s="15"/>
      <c r="J766" s="1"/>
      <c r="K766" s="1"/>
      <c r="P766" s="1"/>
      <c r="Q766" s="1"/>
      <c r="R766" s="1"/>
      <c r="S766" s="1"/>
    </row>
    <row r="767" spans="1:19" ht="34.5" customHeight="1" x14ac:dyDescent="0.25">
      <c r="A767" s="16" t="s">
        <v>69</v>
      </c>
      <c r="B767" s="212" t="s">
        <v>9</v>
      </c>
      <c r="C767" s="295" t="s">
        <v>52</v>
      </c>
      <c r="D767" s="18" t="s">
        <v>14</v>
      </c>
      <c r="E767" s="18">
        <v>18</v>
      </c>
      <c r="F767" s="13"/>
      <c r="G767" s="117">
        <v>0</v>
      </c>
      <c r="H767" s="103"/>
      <c r="I767" s="58">
        <f>E767*G767</f>
        <v>0</v>
      </c>
      <c r="J767" s="1"/>
      <c r="K767" s="1"/>
      <c r="P767" s="1"/>
      <c r="Q767" s="1"/>
      <c r="R767" s="1"/>
      <c r="S767" s="1"/>
    </row>
    <row r="768" spans="1:19" ht="30" customHeight="1" x14ac:dyDescent="0.25">
      <c r="A768" s="10" t="s">
        <v>70</v>
      </c>
      <c r="B768" s="211" t="s">
        <v>13</v>
      </c>
      <c r="C768" s="70" t="s">
        <v>351</v>
      </c>
      <c r="D768" s="12" t="s">
        <v>14</v>
      </c>
      <c r="E768" s="12">
        <v>18</v>
      </c>
      <c r="F768" s="14">
        <v>0</v>
      </c>
      <c r="G768" s="102"/>
      <c r="H768" s="113">
        <f>E768*F768</f>
        <v>0</v>
      </c>
      <c r="I768" s="15"/>
      <c r="J768" s="1"/>
      <c r="K768" s="1"/>
      <c r="P768" s="1"/>
      <c r="Q768" s="1"/>
      <c r="R768" s="1"/>
      <c r="S768" s="1"/>
    </row>
    <row r="769" spans="1:19" ht="52.5" customHeight="1" x14ac:dyDescent="0.25">
      <c r="A769" s="16" t="s">
        <v>246</v>
      </c>
      <c r="B769" s="215" t="s">
        <v>9</v>
      </c>
      <c r="C769" s="17" t="s">
        <v>180</v>
      </c>
      <c r="D769" s="18" t="s">
        <v>54</v>
      </c>
      <c r="E769" s="18">
        <v>11.89</v>
      </c>
      <c r="F769" s="13"/>
      <c r="G769" s="117">
        <v>0</v>
      </c>
      <c r="H769" s="103"/>
      <c r="I769" s="58">
        <f>E769*G769</f>
        <v>0</v>
      </c>
      <c r="J769" s="1"/>
      <c r="K769" s="1">
        <f>K771+K772</f>
        <v>11.89</v>
      </c>
      <c r="P769" s="1"/>
      <c r="Q769" s="1"/>
      <c r="R769" s="1"/>
      <c r="S769" s="1"/>
    </row>
    <row r="770" spans="1:19" ht="14.25" customHeight="1" x14ac:dyDescent="0.25">
      <c r="A770" s="10" t="s">
        <v>73</v>
      </c>
      <c r="B770" s="211" t="s">
        <v>13</v>
      </c>
      <c r="C770" s="11" t="s">
        <v>165</v>
      </c>
      <c r="D770" s="12" t="s">
        <v>38</v>
      </c>
      <c r="E770" s="78">
        <f>2.25*E769</f>
        <v>26.75</v>
      </c>
      <c r="F770" s="14">
        <v>0</v>
      </c>
      <c r="G770" s="102"/>
      <c r="H770" s="113">
        <f>E770*F770</f>
        <v>0</v>
      </c>
      <c r="I770" s="15"/>
      <c r="J770" s="1"/>
      <c r="K770" s="1"/>
      <c r="P770" s="1"/>
      <c r="Q770" s="1"/>
      <c r="R770" s="1"/>
      <c r="S770" s="1"/>
    </row>
    <row r="771" spans="1:19" ht="24" customHeight="1" x14ac:dyDescent="0.25">
      <c r="A771" s="10" t="s">
        <v>74</v>
      </c>
      <c r="B771" s="211" t="s">
        <v>13</v>
      </c>
      <c r="C771" s="11" t="s">
        <v>283</v>
      </c>
      <c r="D771" s="12" t="s">
        <v>58</v>
      </c>
      <c r="E771" s="12">
        <v>1.1000000000000001</v>
      </c>
      <c r="F771" s="14">
        <v>0</v>
      </c>
      <c r="G771" s="102"/>
      <c r="H771" s="113">
        <f>E771*F771</f>
        <v>0</v>
      </c>
      <c r="I771" s="15"/>
      <c r="J771" s="1"/>
      <c r="K771" s="1">
        <f>2.3*E771</f>
        <v>2.5299999999999998</v>
      </c>
      <c r="P771" s="1"/>
      <c r="Q771" s="1"/>
      <c r="R771" s="1"/>
      <c r="S771" s="1"/>
    </row>
    <row r="772" spans="1:19" ht="14.25" customHeight="1" x14ac:dyDescent="0.25">
      <c r="A772" s="10" t="s">
        <v>75</v>
      </c>
      <c r="B772" s="211" t="s">
        <v>13</v>
      </c>
      <c r="C772" s="11" t="s">
        <v>284</v>
      </c>
      <c r="D772" s="12" t="s">
        <v>14</v>
      </c>
      <c r="E772" s="12">
        <v>18</v>
      </c>
      <c r="F772" s="14">
        <v>0</v>
      </c>
      <c r="G772" s="102"/>
      <c r="H772" s="113">
        <f>E772*F772</f>
        <v>0</v>
      </c>
      <c r="I772" s="15"/>
      <c r="J772" s="1"/>
      <c r="K772" s="1">
        <f>E772*0.52</f>
        <v>9.36</v>
      </c>
      <c r="P772" s="1"/>
      <c r="Q772" s="1"/>
      <c r="R772" s="1"/>
      <c r="S772" s="1"/>
    </row>
    <row r="773" spans="1:19" ht="42.75" customHeight="1" x14ac:dyDescent="0.25">
      <c r="A773" s="16" t="s">
        <v>76</v>
      </c>
      <c r="B773" s="215" t="s">
        <v>9</v>
      </c>
      <c r="C773" s="17" t="s">
        <v>285</v>
      </c>
      <c r="D773" s="18" t="s">
        <v>54</v>
      </c>
      <c r="E773" s="18">
        <v>153.38999999999999</v>
      </c>
      <c r="F773" s="13"/>
      <c r="G773" s="117">
        <v>0</v>
      </c>
      <c r="H773" s="103"/>
      <c r="I773" s="58">
        <f>E773*G773</f>
        <v>0</v>
      </c>
      <c r="J773" s="1"/>
      <c r="K773" s="1"/>
      <c r="P773" s="1"/>
      <c r="Q773" s="1"/>
      <c r="R773" s="1"/>
      <c r="S773" s="1"/>
    </row>
    <row r="774" spans="1:19" ht="14.25" customHeight="1" x14ac:dyDescent="0.25">
      <c r="A774" s="10" t="s">
        <v>77</v>
      </c>
      <c r="B774" s="211" t="s">
        <v>13</v>
      </c>
      <c r="C774" s="11" t="s">
        <v>165</v>
      </c>
      <c r="D774" s="12" t="s">
        <v>38</v>
      </c>
      <c r="E774" s="78">
        <f>2.25*E773</f>
        <v>345.13</v>
      </c>
      <c r="F774" s="14">
        <v>0</v>
      </c>
      <c r="G774" s="102"/>
      <c r="H774" s="113">
        <f t="shared" ref="H774:H779" si="64">E774*F774</f>
        <v>0</v>
      </c>
      <c r="I774" s="15"/>
      <c r="J774" s="1"/>
      <c r="K774" s="1"/>
      <c r="P774" s="1"/>
      <c r="Q774" s="1"/>
      <c r="R774" s="1"/>
      <c r="S774" s="1"/>
    </row>
    <row r="775" spans="1:19" ht="14.25" customHeight="1" x14ac:dyDescent="0.25">
      <c r="A775" s="10" t="s">
        <v>387</v>
      </c>
      <c r="B775" s="211" t="s">
        <v>13</v>
      </c>
      <c r="C775" s="11" t="s">
        <v>352</v>
      </c>
      <c r="D775" s="12" t="s">
        <v>58</v>
      </c>
      <c r="E775" s="12">
        <v>52.6</v>
      </c>
      <c r="F775" s="14">
        <v>0</v>
      </c>
      <c r="G775" s="102"/>
      <c r="H775" s="113">
        <f t="shared" si="64"/>
        <v>0</v>
      </c>
      <c r="I775" s="15"/>
      <c r="J775" s="1"/>
      <c r="K775" s="1">
        <f>2.8*E775</f>
        <v>147.28</v>
      </c>
      <c r="P775" s="1"/>
      <c r="Q775" s="1"/>
      <c r="R775" s="1"/>
      <c r="S775" s="1"/>
    </row>
    <row r="776" spans="1:19" ht="14.25" customHeight="1" x14ac:dyDescent="0.25">
      <c r="A776" s="10" t="s">
        <v>388</v>
      </c>
      <c r="B776" s="211" t="s">
        <v>13</v>
      </c>
      <c r="C776" s="70" t="s">
        <v>353</v>
      </c>
      <c r="D776" s="12" t="s">
        <v>14</v>
      </c>
      <c r="E776" s="12">
        <v>1</v>
      </c>
      <c r="F776" s="14">
        <v>0</v>
      </c>
      <c r="G776" s="102"/>
      <c r="H776" s="113">
        <f t="shared" si="64"/>
        <v>0</v>
      </c>
      <c r="I776" s="15"/>
      <c r="J776" s="1"/>
      <c r="K776" s="1">
        <f>0.54*E776</f>
        <v>0.54</v>
      </c>
      <c r="P776" s="1"/>
      <c r="Q776" s="1"/>
      <c r="R776" s="1"/>
      <c r="S776" s="1"/>
    </row>
    <row r="777" spans="1:19" ht="24" customHeight="1" x14ac:dyDescent="0.25">
      <c r="A777" s="10" t="s">
        <v>389</v>
      </c>
      <c r="B777" s="211" t="s">
        <v>13</v>
      </c>
      <c r="C777" s="70" t="s">
        <v>354</v>
      </c>
      <c r="D777" s="12" t="s">
        <v>14</v>
      </c>
      <c r="E777" s="12">
        <v>1</v>
      </c>
      <c r="F777" s="14">
        <v>0</v>
      </c>
      <c r="G777" s="102"/>
      <c r="H777" s="113">
        <f t="shared" si="64"/>
        <v>0</v>
      </c>
      <c r="I777" s="15"/>
      <c r="J777" s="1"/>
      <c r="K777" s="1">
        <v>1.71</v>
      </c>
      <c r="P777" s="1"/>
      <c r="Q777" s="1"/>
      <c r="R777" s="1"/>
      <c r="S777" s="1"/>
    </row>
    <row r="778" spans="1:19" ht="21" customHeight="1" x14ac:dyDescent="0.25">
      <c r="A778" s="10" t="s">
        <v>390</v>
      </c>
      <c r="B778" s="211" t="s">
        <v>13</v>
      </c>
      <c r="C778" s="11" t="s">
        <v>355</v>
      </c>
      <c r="D778" s="12" t="s">
        <v>14</v>
      </c>
      <c r="E778" s="12">
        <v>1</v>
      </c>
      <c r="F778" s="14">
        <v>0</v>
      </c>
      <c r="G778" s="102"/>
      <c r="H778" s="113">
        <f t="shared" si="64"/>
        <v>0</v>
      </c>
      <c r="I778" s="15"/>
      <c r="J778" s="1"/>
      <c r="K778" s="1">
        <v>3.03</v>
      </c>
      <c r="P778" s="1"/>
      <c r="Q778" s="1"/>
      <c r="R778" s="1"/>
      <c r="S778" s="1"/>
    </row>
    <row r="779" spans="1:19" ht="28.5" customHeight="1" x14ac:dyDescent="0.25">
      <c r="A779" s="10" t="s">
        <v>391</v>
      </c>
      <c r="B779" s="211" t="s">
        <v>13</v>
      </c>
      <c r="C779" s="70" t="s">
        <v>356</v>
      </c>
      <c r="D779" s="12" t="s">
        <v>14</v>
      </c>
      <c r="E779" s="12">
        <v>1</v>
      </c>
      <c r="F779" s="14">
        <v>0</v>
      </c>
      <c r="G779" s="102"/>
      <c r="H779" s="113">
        <f t="shared" si="64"/>
        <v>0</v>
      </c>
      <c r="I779" s="15"/>
      <c r="J779" s="1"/>
      <c r="K779" s="1">
        <v>0.83099999999999996</v>
      </c>
      <c r="P779" s="1"/>
      <c r="Q779" s="1"/>
      <c r="R779" s="1"/>
      <c r="S779" s="1"/>
    </row>
    <row r="780" spans="1:19" ht="44.25" customHeight="1" x14ac:dyDescent="0.25">
      <c r="A780" s="18">
        <v>14</v>
      </c>
      <c r="B780" s="215" t="s">
        <v>9</v>
      </c>
      <c r="C780" s="295" t="s">
        <v>291</v>
      </c>
      <c r="D780" s="18" t="s">
        <v>54</v>
      </c>
      <c r="E780" s="18">
        <v>3.59</v>
      </c>
      <c r="F780" s="13"/>
      <c r="G780" s="117">
        <v>0</v>
      </c>
      <c r="H780" s="103"/>
      <c r="I780" s="58">
        <f>E780*G780</f>
        <v>0</v>
      </c>
      <c r="J780" s="1"/>
      <c r="K780" s="1"/>
      <c r="P780" s="1"/>
      <c r="Q780" s="1"/>
      <c r="R780" s="1"/>
      <c r="S780" s="1"/>
    </row>
    <row r="781" spans="1:19" ht="14.25" customHeight="1" x14ac:dyDescent="0.25">
      <c r="A781" s="10" t="s">
        <v>79</v>
      </c>
      <c r="B781" s="211" t="s">
        <v>13</v>
      </c>
      <c r="C781" s="11" t="s">
        <v>165</v>
      </c>
      <c r="D781" s="12" t="s">
        <v>38</v>
      </c>
      <c r="E781" s="78">
        <f>1.22*E780</f>
        <v>4.38</v>
      </c>
      <c r="F781" s="14">
        <v>0</v>
      </c>
      <c r="G781" s="102"/>
      <c r="H781" s="113">
        <f>E781*F781</f>
        <v>0</v>
      </c>
      <c r="I781" s="15"/>
      <c r="J781" s="1"/>
      <c r="K781" s="1"/>
      <c r="P781" s="1"/>
      <c r="Q781" s="1"/>
      <c r="R781" s="1"/>
      <c r="S781" s="1"/>
    </row>
    <row r="782" spans="1:19" ht="14.25" customHeight="1" x14ac:dyDescent="0.25">
      <c r="A782" s="10" t="s">
        <v>392</v>
      </c>
      <c r="B782" s="211" t="s">
        <v>13</v>
      </c>
      <c r="C782" s="277" t="s">
        <v>292</v>
      </c>
      <c r="D782" s="12" t="s">
        <v>58</v>
      </c>
      <c r="E782" s="12">
        <v>0.8</v>
      </c>
      <c r="F782" s="14">
        <v>0</v>
      </c>
      <c r="G782" s="102"/>
      <c r="H782" s="113">
        <f t="shared" ref="H782:H785" si="65">E782*F782</f>
        <v>0</v>
      </c>
      <c r="I782" s="15"/>
      <c r="J782" s="1"/>
      <c r="K782" s="1">
        <v>1.41</v>
      </c>
      <c r="P782" s="1"/>
      <c r="Q782" s="1"/>
      <c r="R782" s="1"/>
      <c r="S782" s="1"/>
    </row>
    <row r="783" spans="1:19" ht="14.25" customHeight="1" x14ac:dyDescent="0.25">
      <c r="A783" s="10" t="s">
        <v>393</v>
      </c>
      <c r="B783" s="211" t="s">
        <v>13</v>
      </c>
      <c r="C783" s="70" t="s">
        <v>293</v>
      </c>
      <c r="D783" s="12" t="s">
        <v>14</v>
      </c>
      <c r="E783" s="12">
        <v>2</v>
      </c>
      <c r="F783" s="14">
        <v>0</v>
      </c>
      <c r="G783" s="102"/>
      <c r="H783" s="113">
        <f t="shared" si="65"/>
        <v>0</v>
      </c>
      <c r="I783" s="15"/>
      <c r="J783" s="1"/>
      <c r="K783" s="1">
        <f>1*E783</f>
        <v>2</v>
      </c>
      <c r="P783" s="1"/>
      <c r="Q783" s="1"/>
      <c r="R783" s="1"/>
      <c r="S783" s="1"/>
    </row>
    <row r="784" spans="1:19" ht="14.25" customHeight="1" x14ac:dyDescent="0.25">
      <c r="A784" s="10" t="s">
        <v>394</v>
      </c>
      <c r="B784" s="211" t="s">
        <v>13</v>
      </c>
      <c r="C784" s="70" t="s">
        <v>294</v>
      </c>
      <c r="D784" s="20" t="s">
        <v>14</v>
      </c>
      <c r="E784" s="20">
        <v>1</v>
      </c>
      <c r="F784" s="14">
        <v>0</v>
      </c>
      <c r="G784" s="102"/>
      <c r="H784" s="113">
        <f t="shared" si="65"/>
        <v>0</v>
      </c>
      <c r="I784" s="15"/>
      <c r="J784" s="1"/>
      <c r="K784" s="1">
        <v>0.18</v>
      </c>
      <c r="P784" s="1"/>
      <c r="Q784" s="1"/>
      <c r="R784" s="1"/>
      <c r="S784" s="1"/>
    </row>
    <row r="785" spans="1:19" ht="14.25" customHeight="1" x14ac:dyDescent="0.25">
      <c r="A785" s="10" t="s">
        <v>395</v>
      </c>
      <c r="B785" s="229" t="s">
        <v>13</v>
      </c>
      <c r="C785" s="70" t="s">
        <v>295</v>
      </c>
      <c r="D785" s="20" t="s">
        <v>14</v>
      </c>
      <c r="E785" s="20">
        <v>1</v>
      </c>
      <c r="F785" s="14">
        <v>0</v>
      </c>
      <c r="G785" s="102"/>
      <c r="H785" s="113">
        <f t="shared" si="65"/>
        <v>0</v>
      </c>
      <c r="I785" s="15"/>
      <c r="J785" s="1"/>
      <c r="K785" s="1"/>
      <c r="P785" s="1"/>
      <c r="Q785" s="1"/>
      <c r="R785" s="1"/>
      <c r="S785" s="1"/>
    </row>
    <row r="786" spans="1:19" ht="30" customHeight="1" x14ac:dyDescent="0.25">
      <c r="A786" s="16" t="s">
        <v>80</v>
      </c>
      <c r="B786" s="228" t="s">
        <v>9</v>
      </c>
      <c r="C786" s="17" t="s">
        <v>211</v>
      </c>
      <c r="D786" s="19" t="s">
        <v>54</v>
      </c>
      <c r="E786" s="18">
        <v>165</v>
      </c>
      <c r="F786" s="28"/>
      <c r="G786" s="117">
        <v>0</v>
      </c>
      <c r="H786" s="103"/>
      <c r="I786" s="58">
        <f>E786*G786</f>
        <v>0</v>
      </c>
      <c r="J786" s="1"/>
      <c r="K786" s="1"/>
      <c r="P786" s="1"/>
      <c r="Q786" s="1"/>
      <c r="R786" s="1"/>
      <c r="S786" s="1"/>
    </row>
    <row r="787" spans="1:19" ht="14.25" customHeight="1" x14ac:dyDescent="0.25">
      <c r="A787" s="10" t="s">
        <v>81</v>
      </c>
      <c r="B787" s="229" t="s">
        <v>13</v>
      </c>
      <c r="C787" s="188" t="s">
        <v>209</v>
      </c>
      <c r="D787" s="90" t="s">
        <v>54</v>
      </c>
      <c r="E787" s="12">
        <f>1.1*E786</f>
        <v>181.5</v>
      </c>
      <c r="F787" s="33">
        <v>0</v>
      </c>
      <c r="G787" s="102"/>
      <c r="H787" s="113">
        <f>E787*F787</f>
        <v>0</v>
      </c>
      <c r="I787" s="15"/>
      <c r="J787" s="1"/>
      <c r="K787" s="1"/>
      <c r="P787" s="1"/>
      <c r="Q787" s="1"/>
      <c r="R787" s="1"/>
      <c r="S787" s="1"/>
    </row>
    <row r="788" spans="1:19" ht="14.25" customHeight="1" thickBot="1" x14ac:dyDescent="0.3">
      <c r="A788" s="54" t="s">
        <v>82</v>
      </c>
      <c r="B788" s="200" t="s">
        <v>13</v>
      </c>
      <c r="C788" s="55" t="s">
        <v>266</v>
      </c>
      <c r="D788" s="94" t="s">
        <v>38</v>
      </c>
      <c r="E788" s="141">
        <f>0.7*E786</f>
        <v>115.5</v>
      </c>
      <c r="F788" s="186">
        <v>0</v>
      </c>
      <c r="G788" s="114"/>
      <c r="H788" s="120">
        <f>E788*F788</f>
        <v>0</v>
      </c>
      <c r="I788" s="127"/>
      <c r="J788" s="1"/>
      <c r="K788" s="1"/>
      <c r="P788" s="1"/>
      <c r="Q788" s="1"/>
      <c r="R788" s="1"/>
      <c r="S788" s="1"/>
    </row>
    <row r="789" spans="1:19" ht="14.25" customHeight="1" thickBot="1" x14ac:dyDescent="0.3">
      <c r="A789" s="45"/>
      <c r="B789" s="216"/>
      <c r="C789" s="191"/>
      <c r="D789" s="48"/>
      <c r="E789" s="48"/>
      <c r="F789" s="132"/>
      <c r="G789" s="109"/>
      <c r="H789" s="121">
        <f>SUM(H762:H788)</f>
        <v>0</v>
      </c>
      <c r="I789" s="86">
        <f>SUM(I761:I788)</f>
        <v>0</v>
      </c>
      <c r="J789" s="1"/>
      <c r="K789" s="1"/>
      <c r="P789" s="1"/>
      <c r="Q789" s="1"/>
      <c r="R789" s="1"/>
      <c r="S789" s="1"/>
    </row>
    <row r="790" spans="1:19" ht="14.25" customHeight="1" thickBot="1" x14ac:dyDescent="0.3">
      <c r="A790" s="45"/>
      <c r="B790" s="216"/>
      <c r="C790" s="47" t="s">
        <v>357</v>
      </c>
      <c r="D790" s="48"/>
      <c r="E790" s="48"/>
      <c r="F790" s="144"/>
      <c r="G790" s="52"/>
      <c r="H790" s="132"/>
      <c r="I790" s="52"/>
      <c r="J790" s="1"/>
      <c r="K790" s="1"/>
      <c r="P790" s="1"/>
      <c r="Q790" s="1"/>
      <c r="R790" s="1"/>
      <c r="S790" s="1"/>
    </row>
    <row r="791" spans="1:19" ht="31.5" customHeight="1" x14ac:dyDescent="0.25">
      <c r="A791" s="4">
        <v>16</v>
      </c>
      <c r="B791" s="226" t="s">
        <v>9</v>
      </c>
      <c r="C791" s="5" t="s">
        <v>277</v>
      </c>
      <c r="D791" s="171" t="s">
        <v>11</v>
      </c>
      <c r="E791" s="4">
        <v>1</v>
      </c>
      <c r="F791" s="6"/>
      <c r="G791" s="172">
        <v>0</v>
      </c>
      <c r="H791" s="6"/>
      <c r="I791" s="42">
        <f>E791*G791</f>
        <v>0</v>
      </c>
      <c r="J791" s="1"/>
      <c r="K791" s="1"/>
      <c r="P791" s="1"/>
      <c r="Q791" s="1"/>
      <c r="R791" s="1"/>
      <c r="S791" s="1"/>
    </row>
    <row r="792" spans="1:19" ht="30.75" customHeight="1" x14ac:dyDescent="0.25">
      <c r="A792" s="10" t="s">
        <v>87</v>
      </c>
      <c r="B792" s="211" t="s">
        <v>13</v>
      </c>
      <c r="C792" s="70" t="s">
        <v>278</v>
      </c>
      <c r="D792" s="12" t="s">
        <v>14</v>
      </c>
      <c r="E792" s="12">
        <v>1</v>
      </c>
      <c r="F792" s="14">
        <v>0</v>
      </c>
      <c r="G792" s="102"/>
      <c r="H792" s="113">
        <f>E792*F792</f>
        <v>0</v>
      </c>
      <c r="I792" s="15"/>
      <c r="J792" s="1"/>
      <c r="K792" s="1"/>
      <c r="P792" s="1"/>
      <c r="Q792" s="1"/>
      <c r="R792" s="1"/>
      <c r="S792" s="1"/>
    </row>
    <row r="793" spans="1:19" ht="14.25" customHeight="1" x14ac:dyDescent="0.25">
      <c r="A793" s="10" t="s">
        <v>396</v>
      </c>
      <c r="B793" s="211" t="s">
        <v>13</v>
      </c>
      <c r="C793" s="70" t="s">
        <v>279</v>
      </c>
      <c r="D793" s="12" t="s">
        <v>14</v>
      </c>
      <c r="E793" s="12">
        <v>1</v>
      </c>
      <c r="F793" s="14">
        <v>0</v>
      </c>
      <c r="G793" s="102"/>
      <c r="H793" s="113">
        <f>E793*F793</f>
        <v>0</v>
      </c>
      <c r="I793" s="15"/>
      <c r="J793" s="1"/>
      <c r="K793" s="1"/>
      <c r="P793" s="1"/>
      <c r="Q793" s="1"/>
      <c r="R793" s="1"/>
      <c r="S793" s="1"/>
    </row>
    <row r="794" spans="1:19" ht="33.75" customHeight="1" x14ac:dyDescent="0.25">
      <c r="A794" s="16" t="s">
        <v>477</v>
      </c>
      <c r="B794" s="212" t="s">
        <v>9</v>
      </c>
      <c r="C794" s="295" t="s">
        <v>803</v>
      </c>
      <c r="D794" s="18" t="s">
        <v>472</v>
      </c>
      <c r="E794" s="18">
        <v>5</v>
      </c>
      <c r="F794" s="13"/>
      <c r="G794" s="117">
        <v>0</v>
      </c>
      <c r="H794" s="103"/>
      <c r="I794" s="58">
        <f>E794*G794</f>
        <v>0</v>
      </c>
      <c r="J794" s="1"/>
      <c r="K794" s="1"/>
      <c r="P794" s="1"/>
      <c r="Q794" s="1"/>
      <c r="R794" s="1"/>
      <c r="S794" s="1"/>
    </row>
    <row r="795" spans="1:19" ht="27" customHeight="1" x14ac:dyDescent="0.25">
      <c r="A795" s="16" t="s">
        <v>88</v>
      </c>
      <c r="B795" s="215" t="s">
        <v>9</v>
      </c>
      <c r="C795" s="295" t="s">
        <v>280</v>
      </c>
      <c r="D795" s="18" t="s">
        <v>14</v>
      </c>
      <c r="E795" s="18">
        <v>1</v>
      </c>
      <c r="F795" s="13"/>
      <c r="G795" s="117">
        <v>0</v>
      </c>
      <c r="H795" s="103"/>
      <c r="I795" s="58">
        <f>E795*G795</f>
        <v>0</v>
      </c>
      <c r="J795" s="1"/>
      <c r="K795" s="1"/>
      <c r="P795" s="1"/>
      <c r="Q795" s="1"/>
      <c r="R795" s="1"/>
      <c r="S795" s="1"/>
    </row>
    <row r="796" spans="1:19" ht="21.75" customHeight="1" x14ac:dyDescent="0.25">
      <c r="A796" s="10" t="s">
        <v>89</v>
      </c>
      <c r="B796" s="211" t="s">
        <v>13</v>
      </c>
      <c r="C796" s="70" t="s">
        <v>281</v>
      </c>
      <c r="D796" s="12" t="s">
        <v>14</v>
      </c>
      <c r="E796" s="12">
        <v>1</v>
      </c>
      <c r="F796" s="14">
        <v>0</v>
      </c>
      <c r="G796" s="102"/>
      <c r="H796" s="113">
        <f>E796*F796</f>
        <v>0</v>
      </c>
      <c r="I796" s="15"/>
      <c r="J796" s="1"/>
      <c r="K796" s="1"/>
      <c r="P796" s="1"/>
      <c r="Q796" s="1"/>
      <c r="R796" s="1"/>
      <c r="S796" s="1"/>
    </row>
    <row r="797" spans="1:19" ht="30" customHeight="1" x14ac:dyDescent="0.25">
      <c r="A797" s="16" t="s">
        <v>92</v>
      </c>
      <c r="B797" s="212" t="s">
        <v>9</v>
      </c>
      <c r="C797" s="295" t="s">
        <v>358</v>
      </c>
      <c r="D797" s="18" t="s">
        <v>14</v>
      </c>
      <c r="E797" s="18">
        <v>18</v>
      </c>
      <c r="F797" s="13"/>
      <c r="G797" s="117">
        <v>0</v>
      </c>
      <c r="H797" s="103"/>
      <c r="I797" s="58">
        <f>E797*G797</f>
        <v>0</v>
      </c>
      <c r="J797" s="1"/>
      <c r="K797" s="1"/>
      <c r="P797" s="1"/>
      <c r="Q797" s="1"/>
      <c r="R797" s="1"/>
      <c r="S797" s="1"/>
    </row>
    <row r="798" spans="1:19" ht="35.25" customHeight="1" x14ac:dyDescent="0.25">
      <c r="A798" s="10" t="s">
        <v>93</v>
      </c>
      <c r="B798" s="211" t="s">
        <v>13</v>
      </c>
      <c r="C798" s="70" t="s">
        <v>359</v>
      </c>
      <c r="D798" s="12" t="s">
        <v>14</v>
      </c>
      <c r="E798" s="12">
        <v>18</v>
      </c>
      <c r="F798" s="14">
        <v>0</v>
      </c>
      <c r="G798" s="102"/>
      <c r="H798" s="113">
        <f>E798*F798</f>
        <v>0</v>
      </c>
      <c r="I798" s="15"/>
      <c r="J798" s="1"/>
      <c r="K798" s="1"/>
      <c r="P798" s="1"/>
      <c r="Q798" s="1"/>
      <c r="R798" s="1"/>
      <c r="S798" s="1"/>
    </row>
    <row r="799" spans="1:19" ht="40.5" customHeight="1" x14ac:dyDescent="0.25">
      <c r="A799" s="16" t="s">
        <v>96</v>
      </c>
      <c r="B799" s="215" t="s">
        <v>9</v>
      </c>
      <c r="C799" s="17" t="s">
        <v>180</v>
      </c>
      <c r="D799" s="18" t="s">
        <v>54</v>
      </c>
      <c r="E799" s="18">
        <f>4.6+9.36</f>
        <v>13.96</v>
      </c>
      <c r="F799" s="13"/>
      <c r="G799" s="117">
        <v>0</v>
      </c>
      <c r="H799" s="103"/>
      <c r="I799" s="58">
        <f>E799*G799</f>
        <v>0</v>
      </c>
      <c r="J799" s="1"/>
      <c r="K799" s="1"/>
      <c r="P799" s="1"/>
      <c r="Q799" s="1"/>
      <c r="R799" s="1"/>
      <c r="S799" s="1"/>
    </row>
    <row r="800" spans="1:19" ht="14.25" customHeight="1" x14ac:dyDescent="0.25">
      <c r="A800" s="10" t="s">
        <v>97</v>
      </c>
      <c r="B800" s="211" t="s">
        <v>13</v>
      </c>
      <c r="C800" s="11" t="s">
        <v>165</v>
      </c>
      <c r="D800" s="12" t="s">
        <v>38</v>
      </c>
      <c r="E800" s="78">
        <f>2.25*E799</f>
        <v>31.41</v>
      </c>
      <c r="F800" s="14">
        <v>0</v>
      </c>
      <c r="G800" s="102"/>
      <c r="H800" s="113">
        <f>E800*F800</f>
        <v>0</v>
      </c>
      <c r="I800" s="15"/>
      <c r="J800" s="1"/>
      <c r="K800" s="1"/>
      <c r="P800" s="1"/>
      <c r="Q800" s="1"/>
      <c r="R800" s="1"/>
      <c r="S800" s="1"/>
    </row>
    <row r="801" spans="1:19" ht="22.5" customHeight="1" x14ac:dyDescent="0.25">
      <c r="A801" s="10" t="s">
        <v>98</v>
      </c>
      <c r="B801" s="211" t="s">
        <v>13</v>
      </c>
      <c r="C801" s="11" t="s">
        <v>283</v>
      </c>
      <c r="D801" s="12" t="s">
        <v>58</v>
      </c>
      <c r="E801" s="12">
        <v>2</v>
      </c>
      <c r="F801" s="14">
        <v>0</v>
      </c>
      <c r="G801" s="102"/>
      <c r="H801" s="113">
        <f>E801*F801</f>
        <v>0</v>
      </c>
      <c r="I801" s="15"/>
      <c r="J801" s="1"/>
      <c r="K801" s="1">
        <f>2.3*E801</f>
        <v>4.5999999999999996</v>
      </c>
      <c r="P801" s="1"/>
      <c r="Q801" s="1"/>
      <c r="R801" s="1"/>
      <c r="S801" s="1"/>
    </row>
    <row r="802" spans="1:19" ht="14.25" customHeight="1" x14ac:dyDescent="0.25">
      <c r="A802" s="10" t="s">
        <v>414</v>
      </c>
      <c r="B802" s="211" t="s">
        <v>13</v>
      </c>
      <c r="C802" s="11" t="s">
        <v>284</v>
      </c>
      <c r="D802" s="12" t="s">
        <v>14</v>
      </c>
      <c r="E802" s="12">
        <v>18</v>
      </c>
      <c r="F802" s="14">
        <v>0</v>
      </c>
      <c r="G802" s="102"/>
      <c r="H802" s="113">
        <f>E802*F802</f>
        <v>0</v>
      </c>
      <c r="I802" s="15"/>
      <c r="J802" s="1"/>
      <c r="K802" s="1">
        <f>0.52*E802</f>
        <v>9.36</v>
      </c>
      <c r="P802" s="1"/>
      <c r="Q802" s="1"/>
      <c r="R802" s="1"/>
      <c r="S802" s="1"/>
    </row>
    <row r="803" spans="1:19" ht="48.75" customHeight="1" x14ac:dyDescent="0.25">
      <c r="A803" s="16" t="s">
        <v>99</v>
      </c>
      <c r="B803" s="215" t="s">
        <v>9</v>
      </c>
      <c r="C803" s="17" t="s">
        <v>285</v>
      </c>
      <c r="D803" s="18" t="s">
        <v>54</v>
      </c>
      <c r="E803" s="18">
        <v>147.80000000000001</v>
      </c>
      <c r="F803" s="13"/>
      <c r="G803" s="117">
        <v>0</v>
      </c>
      <c r="H803" s="103"/>
      <c r="I803" s="58">
        <f>E803*G803</f>
        <v>0</v>
      </c>
      <c r="J803" s="1"/>
      <c r="K803" s="1"/>
      <c r="P803" s="1"/>
      <c r="Q803" s="1"/>
      <c r="R803" s="1"/>
      <c r="S803" s="1"/>
    </row>
    <row r="804" spans="1:19" ht="14.25" customHeight="1" x14ac:dyDescent="0.25">
      <c r="A804" s="10" t="s">
        <v>100</v>
      </c>
      <c r="B804" s="211" t="s">
        <v>13</v>
      </c>
      <c r="C804" s="11" t="s">
        <v>165</v>
      </c>
      <c r="D804" s="12" t="s">
        <v>38</v>
      </c>
      <c r="E804" s="78">
        <f>2.25*E803</f>
        <v>332.55</v>
      </c>
      <c r="F804" s="14">
        <v>0</v>
      </c>
      <c r="G804" s="102"/>
      <c r="H804" s="113">
        <f t="shared" ref="H804:H809" si="66">E804*F804</f>
        <v>0</v>
      </c>
      <c r="I804" s="15"/>
      <c r="J804" s="1"/>
      <c r="K804" s="1"/>
      <c r="P804" s="1"/>
      <c r="Q804" s="1"/>
      <c r="R804" s="1"/>
      <c r="S804" s="1"/>
    </row>
    <row r="805" spans="1:19" ht="25.5" customHeight="1" x14ac:dyDescent="0.25">
      <c r="A805" s="10" t="s">
        <v>101</v>
      </c>
      <c r="B805" s="211" t="s">
        <v>13</v>
      </c>
      <c r="C805" s="11" t="s">
        <v>286</v>
      </c>
      <c r="D805" s="12" t="s">
        <v>58</v>
      </c>
      <c r="E805" s="12">
        <v>53.2</v>
      </c>
      <c r="F805" s="14">
        <v>0</v>
      </c>
      <c r="G805" s="102"/>
      <c r="H805" s="113">
        <f t="shared" si="66"/>
        <v>0</v>
      </c>
      <c r="I805" s="15"/>
      <c r="J805" s="1"/>
      <c r="K805" s="1">
        <f>2.6*E805</f>
        <v>138.32</v>
      </c>
      <c r="P805" s="1"/>
      <c r="Q805" s="1"/>
      <c r="R805" s="1"/>
      <c r="S805" s="1"/>
    </row>
    <row r="806" spans="1:19" ht="14.25" customHeight="1" x14ac:dyDescent="0.25">
      <c r="A806" s="10" t="s">
        <v>102</v>
      </c>
      <c r="B806" s="211" t="s">
        <v>13</v>
      </c>
      <c r="C806" s="70" t="s">
        <v>287</v>
      </c>
      <c r="D806" s="12" t="s">
        <v>14</v>
      </c>
      <c r="E806" s="12">
        <v>1</v>
      </c>
      <c r="F806" s="14">
        <v>0</v>
      </c>
      <c r="G806" s="102"/>
      <c r="H806" s="113">
        <f t="shared" si="66"/>
        <v>0</v>
      </c>
      <c r="I806" s="15"/>
      <c r="J806" s="1"/>
      <c r="K806" s="1">
        <f>0.53*E806</f>
        <v>0.53</v>
      </c>
      <c r="P806" s="1"/>
      <c r="Q806" s="1"/>
      <c r="R806" s="1"/>
      <c r="S806" s="1"/>
    </row>
    <row r="807" spans="1:19" ht="30" customHeight="1" x14ac:dyDescent="0.25">
      <c r="A807" s="10" t="s">
        <v>103</v>
      </c>
      <c r="B807" s="211" t="s">
        <v>13</v>
      </c>
      <c r="C807" s="70" t="s">
        <v>288</v>
      </c>
      <c r="D807" s="12" t="s">
        <v>14</v>
      </c>
      <c r="E807" s="12">
        <v>3</v>
      </c>
      <c r="F807" s="14">
        <v>0</v>
      </c>
      <c r="G807" s="102"/>
      <c r="H807" s="113">
        <f t="shared" si="66"/>
        <v>0</v>
      </c>
      <c r="I807" s="15"/>
      <c r="J807" s="1"/>
      <c r="K807" s="1">
        <f>1.79*E807</f>
        <v>5.37</v>
      </c>
      <c r="P807" s="1"/>
      <c r="Q807" s="1"/>
      <c r="R807" s="1"/>
      <c r="S807" s="1"/>
    </row>
    <row r="808" spans="1:19" ht="14.25" customHeight="1" x14ac:dyDescent="0.25">
      <c r="A808" s="10" t="s">
        <v>104</v>
      </c>
      <c r="B808" s="211" t="s">
        <v>13</v>
      </c>
      <c r="C808" s="11" t="s">
        <v>289</v>
      </c>
      <c r="D808" s="12" t="s">
        <v>14</v>
      </c>
      <c r="E808" s="12">
        <v>1</v>
      </c>
      <c r="F808" s="14">
        <v>0</v>
      </c>
      <c r="G808" s="102"/>
      <c r="H808" s="113">
        <f t="shared" si="66"/>
        <v>0</v>
      </c>
      <c r="I808" s="15"/>
      <c r="J808" s="1"/>
      <c r="K808" s="1">
        <f>2.4*E808</f>
        <v>2.4</v>
      </c>
      <c r="P808" s="1"/>
      <c r="Q808" s="1"/>
      <c r="R808" s="1"/>
      <c r="S808" s="1"/>
    </row>
    <row r="809" spans="1:19" ht="33.75" customHeight="1" x14ac:dyDescent="0.25">
      <c r="A809" s="10" t="s">
        <v>451</v>
      </c>
      <c r="B809" s="211" t="s">
        <v>13</v>
      </c>
      <c r="C809" s="70" t="s">
        <v>290</v>
      </c>
      <c r="D809" s="12" t="s">
        <v>14</v>
      </c>
      <c r="E809" s="12">
        <v>1</v>
      </c>
      <c r="F809" s="14">
        <v>0</v>
      </c>
      <c r="G809" s="102"/>
      <c r="H809" s="113">
        <f t="shared" si="66"/>
        <v>0</v>
      </c>
      <c r="I809" s="15"/>
      <c r="J809" s="1"/>
      <c r="K809" s="1">
        <v>1.18</v>
      </c>
      <c r="P809" s="1"/>
      <c r="Q809" s="1"/>
      <c r="R809" s="1"/>
      <c r="S809" s="1"/>
    </row>
    <row r="810" spans="1:19" ht="49.5" customHeight="1" x14ac:dyDescent="0.25">
      <c r="A810" s="18">
        <v>21</v>
      </c>
      <c r="B810" s="215" t="s">
        <v>9</v>
      </c>
      <c r="C810" s="295" t="s">
        <v>291</v>
      </c>
      <c r="D810" s="18" t="s">
        <v>54</v>
      </c>
      <c r="E810" s="18">
        <v>3.59</v>
      </c>
      <c r="F810" s="13"/>
      <c r="G810" s="117">
        <v>0</v>
      </c>
      <c r="H810" s="103"/>
      <c r="I810" s="58">
        <f>E810*G810</f>
        <v>0</v>
      </c>
      <c r="J810" s="1"/>
      <c r="K810" s="1">
        <f>K812+K813+K814</f>
        <v>3.59</v>
      </c>
      <c r="P810" s="1"/>
      <c r="Q810" s="1"/>
      <c r="R810" s="1"/>
      <c r="S810" s="1"/>
    </row>
    <row r="811" spans="1:19" ht="14.25" customHeight="1" x14ac:dyDescent="0.25">
      <c r="A811" s="10" t="s">
        <v>149</v>
      </c>
      <c r="B811" s="211" t="s">
        <v>13</v>
      </c>
      <c r="C811" s="11" t="s">
        <v>165</v>
      </c>
      <c r="D811" s="12" t="s">
        <v>38</v>
      </c>
      <c r="E811" s="78">
        <f>1.22*E810</f>
        <v>4.38</v>
      </c>
      <c r="F811" s="14">
        <v>0</v>
      </c>
      <c r="G811" s="102"/>
      <c r="H811" s="113">
        <f>E811*F811</f>
        <v>0</v>
      </c>
      <c r="I811" s="15"/>
      <c r="J811" s="1"/>
      <c r="K811" s="1"/>
      <c r="P811" s="1"/>
      <c r="Q811" s="1"/>
      <c r="R811" s="1"/>
      <c r="S811" s="1"/>
    </row>
    <row r="812" spans="1:19" ht="14.25" customHeight="1" x14ac:dyDescent="0.25">
      <c r="A812" s="10" t="s">
        <v>139</v>
      </c>
      <c r="B812" s="211" t="s">
        <v>13</v>
      </c>
      <c r="C812" s="277" t="s">
        <v>292</v>
      </c>
      <c r="D812" s="12" t="s">
        <v>58</v>
      </c>
      <c r="E812" s="12">
        <v>0.8</v>
      </c>
      <c r="F812" s="14">
        <v>0</v>
      </c>
      <c r="G812" s="102"/>
      <c r="H812" s="113">
        <f t="shared" ref="H812:H815" si="67">E812*F812</f>
        <v>0</v>
      </c>
      <c r="I812" s="15"/>
      <c r="J812" s="1"/>
      <c r="K812" s="1">
        <v>1.41</v>
      </c>
      <c r="P812" s="1"/>
      <c r="Q812" s="1"/>
      <c r="R812" s="1"/>
      <c r="S812" s="1"/>
    </row>
    <row r="813" spans="1:19" ht="14.25" customHeight="1" x14ac:dyDescent="0.25">
      <c r="A813" s="10" t="s">
        <v>140</v>
      </c>
      <c r="B813" s="211" t="s">
        <v>13</v>
      </c>
      <c r="C813" s="70" t="s">
        <v>293</v>
      </c>
      <c r="D813" s="12" t="s">
        <v>14</v>
      </c>
      <c r="E813" s="12">
        <v>2</v>
      </c>
      <c r="F813" s="14">
        <v>0</v>
      </c>
      <c r="G813" s="102"/>
      <c r="H813" s="113">
        <f t="shared" si="67"/>
        <v>0</v>
      </c>
      <c r="I813" s="15"/>
      <c r="J813" s="1"/>
      <c r="K813" s="1">
        <f>1*E813</f>
        <v>2</v>
      </c>
      <c r="P813" s="1"/>
      <c r="Q813" s="1"/>
      <c r="R813" s="1"/>
      <c r="S813" s="1"/>
    </row>
    <row r="814" spans="1:19" ht="14.25" customHeight="1" x14ac:dyDescent="0.25">
      <c r="A814" s="10" t="s">
        <v>141</v>
      </c>
      <c r="B814" s="211" t="s">
        <v>13</v>
      </c>
      <c r="C814" s="70" t="s">
        <v>294</v>
      </c>
      <c r="D814" s="20" t="s">
        <v>14</v>
      </c>
      <c r="E814" s="20">
        <v>1</v>
      </c>
      <c r="F814" s="14">
        <v>0</v>
      </c>
      <c r="G814" s="102"/>
      <c r="H814" s="113">
        <f t="shared" si="67"/>
        <v>0</v>
      </c>
      <c r="I814" s="15"/>
      <c r="J814" s="1"/>
      <c r="K814" s="1">
        <v>0.18</v>
      </c>
      <c r="P814" s="1"/>
      <c r="Q814" s="1"/>
      <c r="R814" s="1"/>
      <c r="S814" s="1"/>
    </row>
    <row r="815" spans="1:19" ht="14.25" customHeight="1" x14ac:dyDescent="0.25">
      <c r="A815" s="10" t="s">
        <v>453</v>
      </c>
      <c r="B815" s="229" t="s">
        <v>13</v>
      </c>
      <c r="C815" s="70" t="s">
        <v>295</v>
      </c>
      <c r="D815" s="20" t="s">
        <v>14</v>
      </c>
      <c r="E815" s="20">
        <v>1</v>
      </c>
      <c r="F815" s="14">
        <v>0</v>
      </c>
      <c r="G815" s="102"/>
      <c r="H815" s="113">
        <f t="shared" si="67"/>
        <v>0</v>
      </c>
      <c r="I815" s="15"/>
      <c r="J815" s="1"/>
      <c r="K815" s="1"/>
      <c r="P815" s="1"/>
      <c r="Q815" s="1"/>
      <c r="R815" s="1"/>
      <c r="S815" s="1"/>
    </row>
    <row r="816" spans="1:19" ht="33.75" customHeight="1" x14ac:dyDescent="0.25">
      <c r="A816" s="16" t="s">
        <v>108</v>
      </c>
      <c r="B816" s="228" t="s">
        <v>9</v>
      </c>
      <c r="C816" s="17" t="s">
        <v>211</v>
      </c>
      <c r="D816" s="19" t="s">
        <v>54</v>
      </c>
      <c r="E816" s="18">
        <v>161.6</v>
      </c>
      <c r="F816" s="28"/>
      <c r="G816" s="117">
        <v>0</v>
      </c>
      <c r="H816" s="103"/>
      <c r="I816" s="58">
        <f>E816*G816</f>
        <v>0</v>
      </c>
      <c r="J816" s="1"/>
      <c r="K816" s="1"/>
      <c r="P816" s="1"/>
      <c r="Q816" s="1"/>
      <c r="R816" s="1"/>
      <c r="S816" s="1"/>
    </row>
    <row r="817" spans="1:19" ht="14.25" customHeight="1" x14ac:dyDescent="0.25">
      <c r="A817" s="10" t="s">
        <v>106</v>
      </c>
      <c r="B817" s="229" t="s">
        <v>13</v>
      </c>
      <c r="C817" s="188" t="s">
        <v>209</v>
      </c>
      <c r="D817" s="90" t="s">
        <v>54</v>
      </c>
      <c r="E817" s="12">
        <f>1.1*E816</f>
        <v>177.76</v>
      </c>
      <c r="F817" s="33">
        <v>0</v>
      </c>
      <c r="G817" s="102"/>
      <c r="H817" s="113">
        <f>E817*F817</f>
        <v>0</v>
      </c>
      <c r="I817" s="15"/>
      <c r="J817" s="1"/>
      <c r="K817" s="1"/>
      <c r="P817" s="1"/>
      <c r="Q817" s="1"/>
      <c r="R817" s="1"/>
      <c r="S817" s="1"/>
    </row>
    <row r="818" spans="1:19" ht="14.25" customHeight="1" thickBot="1" x14ac:dyDescent="0.3">
      <c r="A818" s="54" t="s">
        <v>107</v>
      </c>
      <c r="B818" s="200" t="s">
        <v>13</v>
      </c>
      <c r="C818" s="55" t="s">
        <v>266</v>
      </c>
      <c r="D818" s="94" t="s">
        <v>38</v>
      </c>
      <c r="E818" s="141">
        <f>0.7*E816</f>
        <v>113.12</v>
      </c>
      <c r="F818" s="186">
        <v>0</v>
      </c>
      <c r="G818" s="114"/>
      <c r="H818" s="120">
        <f>E818*F818</f>
        <v>0</v>
      </c>
      <c r="I818" s="127"/>
      <c r="J818" s="1"/>
      <c r="K818" s="1"/>
      <c r="P818" s="1"/>
      <c r="Q818" s="1"/>
      <c r="R818" s="1"/>
      <c r="S818" s="1"/>
    </row>
    <row r="819" spans="1:19" ht="14.25" customHeight="1" thickBot="1" x14ac:dyDescent="0.3">
      <c r="A819" s="45"/>
      <c r="B819" s="216"/>
      <c r="C819" s="191"/>
      <c r="D819" s="48"/>
      <c r="E819" s="48"/>
      <c r="F819" s="132"/>
      <c r="G819" s="109"/>
      <c r="H819" s="121">
        <f>SUM(H792:H818)</f>
        <v>0</v>
      </c>
      <c r="I819" s="86">
        <f>SUM(I791:I818)</f>
        <v>0</v>
      </c>
      <c r="J819" s="1"/>
      <c r="K819" s="1"/>
      <c r="P819" s="1"/>
      <c r="Q819" s="1"/>
      <c r="R819" s="1"/>
      <c r="S819" s="1"/>
    </row>
    <row r="820" spans="1:19" ht="14.25" customHeight="1" thickBot="1" x14ac:dyDescent="0.3">
      <c r="A820" s="45"/>
      <c r="B820" s="216"/>
      <c r="C820" s="47" t="s">
        <v>360</v>
      </c>
      <c r="D820" s="48"/>
      <c r="E820" s="48"/>
      <c r="F820" s="144"/>
      <c r="G820" s="52"/>
      <c r="H820" s="132"/>
      <c r="I820" s="52"/>
      <c r="J820" s="1"/>
      <c r="K820" s="1"/>
      <c r="P820" s="1"/>
      <c r="Q820" s="1"/>
      <c r="R820" s="1"/>
      <c r="S820" s="1"/>
    </row>
    <row r="821" spans="1:19" ht="35.25" customHeight="1" x14ac:dyDescent="0.25">
      <c r="A821" s="97" t="s">
        <v>109</v>
      </c>
      <c r="B821" s="232" t="s">
        <v>9</v>
      </c>
      <c r="C821" s="5" t="s">
        <v>297</v>
      </c>
      <c r="D821" s="53" t="s">
        <v>14</v>
      </c>
      <c r="E821" s="4">
        <v>1</v>
      </c>
      <c r="F821" s="96"/>
      <c r="G821" s="172">
        <v>0</v>
      </c>
      <c r="H821" s="6"/>
      <c r="I821" s="42">
        <f>E821*G821</f>
        <v>0</v>
      </c>
      <c r="J821" s="1"/>
      <c r="K821" s="1"/>
      <c r="P821" s="1"/>
      <c r="Q821" s="1"/>
      <c r="R821" s="1"/>
      <c r="S821" s="1"/>
    </row>
    <row r="822" spans="1:19" ht="14.25" customHeight="1" x14ac:dyDescent="0.25">
      <c r="A822" s="112" t="s">
        <v>110</v>
      </c>
      <c r="B822" s="233" t="s">
        <v>13</v>
      </c>
      <c r="C822" s="128" t="s">
        <v>361</v>
      </c>
      <c r="D822" s="90" t="s">
        <v>14</v>
      </c>
      <c r="E822" s="125">
        <v>1</v>
      </c>
      <c r="F822" s="63">
        <v>0</v>
      </c>
      <c r="G822" s="101"/>
      <c r="H822" s="126">
        <f>E822*F822</f>
        <v>0</v>
      </c>
      <c r="I822" s="119"/>
      <c r="J822" s="1"/>
      <c r="K822" s="1"/>
      <c r="P822" s="1"/>
      <c r="Q822" s="1"/>
      <c r="R822" s="1"/>
      <c r="S822" s="1"/>
    </row>
    <row r="823" spans="1:19" x14ac:dyDescent="0.25">
      <c r="A823" s="16" t="s">
        <v>112</v>
      </c>
      <c r="B823" s="217" t="s">
        <v>9</v>
      </c>
      <c r="C823" s="21" t="s">
        <v>30</v>
      </c>
      <c r="D823" s="22" t="s">
        <v>14</v>
      </c>
      <c r="E823" s="22">
        <v>1</v>
      </c>
      <c r="F823" s="23"/>
      <c r="G823" s="118">
        <v>0</v>
      </c>
      <c r="H823" s="103"/>
      <c r="I823" s="24">
        <f>E823*G823</f>
        <v>0</v>
      </c>
      <c r="J823" s="1"/>
      <c r="K823" s="1"/>
      <c r="P823" s="1"/>
      <c r="Q823" s="1"/>
      <c r="R823" s="1"/>
      <c r="S823" s="1"/>
    </row>
    <row r="824" spans="1:19" ht="36" customHeight="1" x14ac:dyDescent="0.25">
      <c r="A824" s="10" t="s">
        <v>113</v>
      </c>
      <c r="B824" s="218" t="s">
        <v>13</v>
      </c>
      <c r="C824" s="128" t="s">
        <v>362</v>
      </c>
      <c r="D824" s="25" t="s">
        <v>14</v>
      </c>
      <c r="E824" s="25">
        <v>1</v>
      </c>
      <c r="F824" s="147">
        <v>0</v>
      </c>
      <c r="G824" s="369"/>
      <c r="H824" s="148">
        <f>E824*F824</f>
        <v>0</v>
      </c>
      <c r="I824" s="15"/>
      <c r="J824" s="1"/>
      <c r="K824" s="1"/>
      <c r="P824" s="1"/>
      <c r="Q824" s="1"/>
      <c r="R824" s="1"/>
      <c r="S824" s="1"/>
    </row>
    <row r="825" spans="1:19" ht="28.5" x14ac:dyDescent="0.25">
      <c r="A825" s="16" t="s">
        <v>478</v>
      </c>
      <c r="B825" s="212" t="s">
        <v>9</v>
      </c>
      <c r="C825" s="295" t="s">
        <v>803</v>
      </c>
      <c r="D825" s="18" t="s">
        <v>472</v>
      </c>
      <c r="E825" s="18">
        <v>5</v>
      </c>
      <c r="F825" s="13"/>
      <c r="G825" s="117">
        <v>0</v>
      </c>
      <c r="H825" s="103"/>
      <c r="I825" s="58">
        <f>E825*G825</f>
        <v>0</v>
      </c>
      <c r="J825" s="1"/>
      <c r="K825" s="1"/>
      <c r="P825" s="1"/>
      <c r="Q825" s="1"/>
      <c r="R825" s="1"/>
      <c r="S825" s="1"/>
    </row>
    <row r="826" spans="1:19" ht="54" customHeight="1" x14ac:dyDescent="0.25">
      <c r="A826" s="16" t="s">
        <v>115</v>
      </c>
      <c r="B826" s="215" t="s">
        <v>9</v>
      </c>
      <c r="C826" s="17" t="s">
        <v>285</v>
      </c>
      <c r="D826" s="18" t="s">
        <v>54</v>
      </c>
      <c r="E826" s="18">
        <v>174.74</v>
      </c>
      <c r="F826" s="13"/>
      <c r="G826" s="117">
        <v>0</v>
      </c>
      <c r="H826" s="103"/>
      <c r="I826" s="58">
        <f>E826*G826</f>
        <v>0</v>
      </c>
      <c r="J826" s="1"/>
      <c r="K826" s="1"/>
      <c r="P826" s="1"/>
      <c r="Q826" s="1"/>
      <c r="R826" s="1"/>
      <c r="S826" s="1"/>
    </row>
    <row r="827" spans="1:19" ht="14.25" customHeight="1" x14ac:dyDescent="0.25">
      <c r="A827" s="10" t="s">
        <v>116</v>
      </c>
      <c r="B827" s="211" t="s">
        <v>13</v>
      </c>
      <c r="C827" s="11" t="s">
        <v>165</v>
      </c>
      <c r="D827" s="12" t="s">
        <v>38</v>
      </c>
      <c r="E827" s="78">
        <f>2.25*E826</f>
        <v>393.17</v>
      </c>
      <c r="F827" s="14">
        <v>0</v>
      </c>
      <c r="G827" s="102"/>
      <c r="H827" s="113">
        <f t="shared" ref="H827:H834" si="68">E827*F827</f>
        <v>0</v>
      </c>
      <c r="I827" s="15"/>
      <c r="J827" s="1"/>
      <c r="K827" s="1"/>
      <c r="P827" s="1"/>
      <c r="Q827" s="1"/>
      <c r="R827" s="1"/>
      <c r="S827" s="1"/>
    </row>
    <row r="828" spans="1:19" ht="23.25" customHeight="1" x14ac:dyDescent="0.25">
      <c r="A828" s="10" t="s">
        <v>117</v>
      </c>
      <c r="B828" s="211" t="s">
        <v>13</v>
      </c>
      <c r="C828" s="11" t="s">
        <v>363</v>
      </c>
      <c r="D828" s="12" t="s">
        <v>58</v>
      </c>
      <c r="E828" s="12">
        <v>0.8</v>
      </c>
      <c r="F828" s="14">
        <v>0</v>
      </c>
      <c r="G828" s="102"/>
      <c r="H828" s="113">
        <f t="shared" si="68"/>
        <v>0</v>
      </c>
      <c r="I828" s="15"/>
      <c r="J828" s="1"/>
      <c r="K828" s="1">
        <f>2.52*E828</f>
        <v>2.016</v>
      </c>
      <c r="P828" s="1"/>
      <c r="Q828" s="1"/>
      <c r="R828" s="1"/>
      <c r="S828" s="1"/>
    </row>
    <row r="829" spans="1:19" ht="27.75" customHeight="1" x14ac:dyDescent="0.25">
      <c r="A829" s="10" t="s">
        <v>142</v>
      </c>
      <c r="B829" s="211" t="s">
        <v>13</v>
      </c>
      <c r="C829" s="11" t="s">
        <v>623</v>
      </c>
      <c r="D829" s="20" t="s">
        <v>58</v>
      </c>
      <c r="E829" s="12">
        <v>1.3</v>
      </c>
      <c r="F829" s="33">
        <v>0</v>
      </c>
      <c r="G829" s="102"/>
      <c r="H829" s="113">
        <f t="shared" si="68"/>
        <v>0</v>
      </c>
      <c r="I829" s="15"/>
      <c r="J829" s="1"/>
      <c r="K829" s="1">
        <f>2.4*E829</f>
        <v>3.12</v>
      </c>
      <c r="P829" s="1"/>
      <c r="Q829" s="1"/>
      <c r="R829" s="1"/>
      <c r="S829" s="1"/>
    </row>
    <row r="830" spans="1:19" ht="23.25" customHeight="1" x14ac:dyDescent="0.25">
      <c r="A830" s="10" t="s">
        <v>143</v>
      </c>
      <c r="B830" s="211" t="s">
        <v>13</v>
      </c>
      <c r="C830" s="11" t="s">
        <v>364</v>
      </c>
      <c r="D830" s="20" t="s">
        <v>58</v>
      </c>
      <c r="E830" s="12">
        <v>51.1</v>
      </c>
      <c r="F830" s="33">
        <v>0</v>
      </c>
      <c r="G830" s="102"/>
      <c r="H830" s="113">
        <f t="shared" si="68"/>
        <v>0</v>
      </c>
      <c r="I830" s="15"/>
      <c r="J830" s="1"/>
      <c r="K830" s="1">
        <f>2.8*E830</f>
        <v>143.08000000000001</v>
      </c>
      <c r="P830" s="1"/>
      <c r="Q830" s="1"/>
      <c r="R830" s="1"/>
      <c r="S830" s="1"/>
    </row>
    <row r="831" spans="1:19" ht="14.25" customHeight="1" x14ac:dyDescent="0.25">
      <c r="A831" s="10" t="s">
        <v>415</v>
      </c>
      <c r="B831" s="220" t="s">
        <v>13</v>
      </c>
      <c r="C831" s="30" t="s">
        <v>299</v>
      </c>
      <c r="D831" s="31" t="s">
        <v>14</v>
      </c>
      <c r="E831" s="104">
        <v>18</v>
      </c>
      <c r="F831" s="33">
        <v>0</v>
      </c>
      <c r="G831" s="102"/>
      <c r="H831" s="113">
        <f t="shared" si="68"/>
        <v>0</v>
      </c>
      <c r="I831" s="15"/>
      <c r="J831" s="1"/>
      <c r="K831" s="1">
        <f>1.08*E831</f>
        <v>19.440000000000001</v>
      </c>
      <c r="P831" s="1"/>
      <c r="Q831" s="1"/>
      <c r="R831" s="1"/>
      <c r="S831" s="1"/>
    </row>
    <row r="832" spans="1:19" ht="14.25" customHeight="1" x14ac:dyDescent="0.25">
      <c r="A832" s="10" t="s">
        <v>416</v>
      </c>
      <c r="B832" s="220" t="s">
        <v>13</v>
      </c>
      <c r="C832" s="30" t="s">
        <v>365</v>
      </c>
      <c r="D832" s="31" t="s">
        <v>14</v>
      </c>
      <c r="E832" s="104">
        <v>1</v>
      </c>
      <c r="F832" s="33">
        <v>0</v>
      </c>
      <c r="G832" s="102"/>
      <c r="H832" s="113">
        <f t="shared" si="68"/>
        <v>0</v>
      </c>
      <c r="I832" s="15"/>
      <c r="J832" s="1"/>
      <c r="K832" s="1">
        <f>0.54*E832</f>
        <v>0.54</v>
      </c>
      <c r="P832" s="1"/>
      <c r="Q832" s="1"/>
      <c r="R832" s="1"/>
      <c r="S832" s="1"/>
    </row>
    <row r="833" spans="1:19" ht="14.25" customHeight="1" x14ac:dyDescent="0.25">
      <c r="A833" s="10" t="s">
        <v>454</v>
      </c>
      <c r="B833" s="220" t="s">
        <v>13</v>
      </c>
      <c r="C833" s="30" t="s">
        <v>580</v>
      </c>
      <c r="D833" s="31" t="s">
        <v>14</v>
      </c>
      <c r="E833" s="104">
        <v>1</v>
      </c>
      <c r="F833" s="33">
        <v>0</v>
      </c>
      <c r="G833" s="102"/>
      <c r="H833" s="113">
        <f t="shared" si="68"/>
        <v>0</v>
      </c>
      <c r="I833" s="15"/>
      <c r="J833" s="1"/>
      <c r="K833" s="1">
        <f>0.66*E833</f>
        <v>0.66</v>
      </c>
      <c r="P833" s="1"/>
      <c r="Q833" s="1"/>
      <c r="R833" s="1"/>
      <c r="S833" s="1"/>
    </row>
    <row r="834" spans="1:19" ht="34.5" customHeight="1" x14ac:dyDescent="0.25">
      <c r="A834" s="10" t="s">
        <v>835</v>
      </c>
      <c r="B834" s="220" t="s">
        <v>13</v>
      </c>
      <c r="C834" s="30" t="s">
        <v>366</v>
      </c>
      <c r="D834" s="31" t="s">
        <v>14</v>
      </c>
      <c r="E834" s="104">
        <v>6</v>
      </c>
      <c r="F834" s="33">
        <v>0</v>
      </c>
      <c r="G834" s="102"/>
      <c r="H834" s="113">
        <f t="shared" si="68"/>
        <v>0</v>
      </c>
      <c r="I834" s="15"/>
      <c r="J834" s="1"/>
      <c r="K834" s="1">
        <f>0.98*E834</f>
        <v>5.88</v>
      </c>
      <c r="P834" s="1"/>
      <c r="Q834" s="1"/>
      <c r="R834" s="1"/>
      <c r="S834" s="1"/>
    </row>
    <row r="835" spans="1:19" ht="28.5" x14ac:dyDescent="0.25">
      <c r="A835" s="18">
        <v>26</v>
      </c>
      <c r="B835" s="221" t="s">
        <v>9</v>
      </c>
      <c r="C835" s="17" t="s">
        <v>52</v>
      </c>
      <c r="D835" s="19" t="s">
        <v>14</v>
      </c>
      <c r="E835" s="18">
        <v>18</v>
      </c>
      <c r="F835" s="28"/>
      <c r="G835" s="117">
        <v>0</v>
      </c>
      <c r="H835" s="103"/>
      <c r="I835" s="58">
        <f>E835*G835</f>
        <v>0</v>
      </c>
      <c r="J835" s="1"/>
      <c r="K835" s="1"/>
      <c r="P835" s="1"/>
      <c r="Q835" s="1"/>
      <c r="R835" s="1"/>
      <c r="S835" s="1"/>
    </row>
    <row r="836" spans="1:19" ht="45" x14ac:dyDescent="0.25">
      <c r="A836" s="29" t="s">
        <v>119</v>
      </c>
      <c r="B836" s="220" t="s">
        <v>13</v>
      </c>
      <c r="C836" s="30" t="s">
        <v>462</v>
      </c>
      <c r="D836" s="31" t="s">
        <v>14</v>
      </c>
      <c r="E836" s="104">
        <v>18</v>
      </c>
      <c r="F836" s="33">
        <v>0</v>
      </c>
      <c r="G836" s="102"/>
      <c r="H836" s="113">
        <f>E836*F836</f>
        <v>0</v>
      </c>
      <c r="I836" s="15"/>
      <c r="J836" s="1"/>
      <c r="K836" s="1"/>
      <c r="P836" s="1"/>
      <c r="Q836" s="1"/>
      <c r="R836" s="1"/>
      <c r="S836" s="1"/>
    </row>
    <row r="837" spans="1:19" ht="28.5" x14ac:dyDescent="0.25">
      <c r="A837" s="173" t="s">
        <v>122</v>
      </c>
      <c r="B837" s="234" t="s">
        <v>9</v>
      </c>
      <c r="C837" s="17" t="s">
        <v>211</v>
      </c>
      <c r="D837" s="19" t="s">
        <v>54</v>
      </c>
      <c r="E837" s="18">
        <v>157.6</v>
      </c>
      <c r="F837" s="28"/>
      <c r="G837" s="117">
        <v>0</v>
      </c>
      <c r="H837" s="103"/>
      <c r="I837" s="58">
        <f>E837*G837</f>
        <v>0</v>
      </c>
      <c r="J837" s="1"/>
      <c r="K837" s="1"/>
      <c r="P837" s="1"/>
      <c r="Q837" s="1"/>
      <c r="R837" s="1"/>
      <c r="S837" s="1"/>
    </row>
    <row r="838" spans="1:19" x14ac:dyDescent="0.25">
      <c r="A838" s="29" t="s">
        <v>123</v>
      </c>
      <c r="B838" s="220" t="s">
        <v>13</v>
      </c>
      <c r="C838" s="188" t="s">
        <v>209</v>
      </c>
      <c r="D838" s="90" t="s">
        <v>54</v>
      </c>
      <c r="E838" s="12">
        <f>1.1*E837</f>
        <v>173.36</v>
      </c>
      <c r="F838" s="33">
        <v>0</v>
      </c>
      <c r="G838" s="102"/>
      <c r="H838" s="113">
        <f>E838*F838</f>
        <v>0</v>
      </c>
      <c r="I838" s="15"/>
      <c r="J838" s="1"/>
      <c r="K838" s="1"/>
      <c r="P838" s="1"/>
      <c r="Q838" s="1"/>
      <c r="R838" s="1"/>
      <c r="S838" s="1"/>
    </row>
    <row r="839" spans="1:19" ht="14.25" customHeight="1" thickBot="1" x14ac:dyDescent="0.3">
      <c r="A839" s="129" t="s">
        <v>124</v>
      </c>
      <c r="B839" s="381" t="s">
        <v>13</v>
      </c>
      <c r="C839" s="91" t="s">
        <v>266</v>
      </c>
      <c r="D839" s="92" t="s">
        <v>38</v>
      </c>
      <c r="E839" s="141">
        <f>0.7*E837</f>
        <v>110.32</v>
      </c>
      <c r="F839" s="186">
        <v>0</v>
      </c>
      <c r="G839" s="114"/>
      <c r="H839" s="120">
        <f>E839*F839</f>
        <v>0</v>
      </c>
      <c r="I839" s="127"/>
      <c r="J839" s="1"/>
      <c r="K839" s="1"/>
      <c r="P839" s="1"/>
      <c r="Q839" s="1"/>
      <c r="R839" s="1"/>
      <c r="S839" s="1"/>
    </row>
    <row r="840" spans="1:19" ht="14.25" customHeight="1" thickBot="1" x14ac:dyDescent="0.3">
      <c r="A840" s="83"/>
      <c r="B840" s="244"/>
      <c r="C840" s="268" t="s">
        <v>417</v>
      </c>
      <c r="D840" s="48"/>
      <c r="E840" s="49"/>
      <c r="F840" s="132"/>
      <c r="G840" s="109"/>
      <c r="H840" s="121">
        <f>SUM(H822:H839)</f>
        <v>0</v>
      </c>
      <c r="I840" s="86">
        <f>SUM(I821:I839)</f>
        <v>0</v>
      </c>
      <c r="J840" s="1"/>
      <c r="K840" s="1"/>
      <c r="P840" s="1"/>
      <c r="Q840" s="1"/>
      <c r="R840" s="1"/>
      <c r="S840" s="1"/>
    </row>
    <row r="841" spans="1:19" ht="14.25" customHeight="1" thickBot="1" x14ac:dyDescent="0.3">
      <c r="A841" s="85"/>
      <c r="B841" s="249"/>
      <c r="C841" s="47" t="s">
        <v>367</v>
      </c>
      <c r="D841" s="3"/>
      <c r="E841" s="85"/>
      <c r="F841" s="99"/>
      <c r="G841" s="109"/>
      <c r="H841" s="121"/>
      <c r="I841" s="52"/>
      <c r="J841" s="1"/>
      <c r="K841" s="1"/>
      <c r="P841" s="1"/>
      <c r="Q841" s="1"/>
      <c r="R841" s="1"/>
      <c r="S841" s="1"/>
    </row>
    <row r="842" spans="1:19" ht="36" customHeight="1" x14ac:dyDescent="0.25">
      <c r="A842" s="97" t="s">
        <v>125</v>
      </c>
      <c r="B842" s="232" t="s">
        <v>9</v>
      </c>
      <c r="C842" s="5" t="s">
        <v>297</v>
      </c>
      <c r="D842" s="53" t="s">
        <v>14</v>
      </c>
      <c r="E842" s="4">
        <v>1</v>
      </c>
      <c r="F842" s="96"/>
      <c r="G842" s="172">
        <v>0</v>
      </c>
      <c r="H842" s="6"/>
      <c r="I842" s="42">
        <f>E842*G842</f>
        <v>0</v>
      </c>
      <c r="J842" s="1"/>
      <c r="K842" s="1"/>
      <c r="P842" s="1"/>
      <c r="Q842" s="1"/>
      <c r="R842" s="1"/>
      <c r="S842" s="1"/>
    </row>
    <row r="843" spans="1:19" ht="27" customHeight="1" x14ac:dyDescent="0.25">
      <c r="A843" s="112" t="s">
        <v>126</v>
      </c>
      <c r="B843" s="233" t="s">
        <v>13</v>
      </c>
      <c r="C843" s="128" t="s">
        <v>624</v>
      </c>
      <c r="D843" s="90" t="s">
        <v>14</v>
      </c>
      <c r="E843" s="125">
        <v>1</v>
      </c>
      <c r="F843" s="63">
        <v>0</v>
      </c>
      <c r="G843" s="101"/>
      <c r="H843" s="126">
        <f>E843*F843</f>
        <v>0</v>
      </c>
      <c r="I843" s="119"/>
      <c r="J843" s="1"/>
      <c r="K843" s="1"/>
      <c r="P843" s="1"/>
      <c r="Q843" s="1"/>
      <c r="R843" s="1"/>
      <c r="S843" s="1"/>
    </row>
    <row r="844" spans="1:19" x14ac:dyDescent="0.25">
      <c r="A844" s="16" t="s">
        <v>127</v>
      </c>
      <c r="B844" s="217" t="s">
        <v>9</v>
      </c>
      <c r="C844" s="21" t="s">
        <v>30</v>
      </c>
      <c r="D844" s="22" t="s">
        <v>14</v>
      </c>
      <c r="E844" s="22">
        <v>1</v>
      </c>
      <c r="F844" s="23"/>
      <c r="G844" s="118">
        <v>0</v>
      </c>
      <c r="H844" s="103"/>
      <c r="I844" s="24">
        <f>E844*G844</f>
        <v>0</v>
      </c>
      <c r="J844" s="1"/>
      <c r="K844" s="1"/>
      <c r="P844" s="1"/>
      <c r="Q844" s="1"/>
      <c r="R844" s="1"/>
      <c r="S844" s="1"/>
    </row>
    <row r="845" spans="1:19" ht="30" x14ac:dyDescent="0.25">
      <c r="A845" s="10" t="s">
        <v>128</v>
      </c>
      <c r="B845" s="218" t="s">
        <v>13</v>
      </c>
      <c r="C845" s="128" t="s">
        <v>625</v>
      </c>
      <c r="D845" s="25" t="s">
        <v>14</v>
      </c>
      <c r="E845" s="25">
        <v>1</v>
      </c>
      <c r="F845" s="147">
        <v>0</v>
      </c>
      <c r="G845" s="369"/>
      <c r="H845" s="148">
        <f>E845*F845</f>
        <v>0</v>
      </c>
      <c r="I845" s="15"/>
      <c r="J845" s="1"/>
      <c r="K845" s="1"/>
      <c r="P845" s="1"/>
      <c r="Q845" s="1"/>
      <c r="R845" s="1"/>
      <c r="S845" s="1"/>
    </row>
    <row r="846" spans="1:19" ht="28.5" x14ac:dyDescent="0.25">
      <c r="A846" s="16" t="s">
        <v>479</v>
      </c>
      <c r="B846" s="212" t="s">
        <v>9</v>
      </c>
      <c r="C846" s="295" t="s">
        <v>803</v>
      </c>
      <c r="D846" s="18" t="s">
        <v>472</v>
      </c>
      <c r="E846" s="18">
        <v>5</v>
      </c>
      <c r="F846" s="13"/>
      <c r="G846" s="117">
        <v>0</v>
      </c>
      <c r="H846" s="103"/>
      <c r="I846" s="58">
        <f>E846*G846</f>
        <v>0</v>
      </c>
      <c r="J846" s="1"/>
      <c r="K846" s="1"/>
      <c r="P846" s="1"/>
      <c r="Q846" s="1"/>
      <c r="R846" s="1"/>
      <c r="S846" s="1"/>
    </row>
    <row r="847" spans="1:19" ht="48.75" customHeight="1" x14ac:dyDescent="0.25">
      <c r="A847" s="16" t="s">
        <v>129</v>
      </c>
      <c r="B847" s="215" t="s">
        <v>9</v>
      </c>
      <c r="C847" s="17" t="s">
        <v>285</v>
      </c>
      <c r="D847" s="18" t="s">
        <v>54</v>
      </c>
      <c r="E847" s="18">
        <v>163.63999999999999</v>
      </c>
      <c r="F847" s="13"/>
      <c r="G847" s="117">
        <v>0</v>
      </c>
      <c r="H847" s="103"/>
      <c r="I847" s="58">
        <f>E847*G847</f>
        <v>0</v>
      </c>
      <c r="J847" s="1"/>
      <c r="K847" s="1"/>
      <c r="P847" s="1"/>
      <c r="Q847" s="1"/>
      <c r="R847" s="1"/>
      <c r="S847" s="1"/>
    </row>
    <row r="848" spans="1:19" ht="14.25" customHeight="1" x14ac:dyDescent="0.25">
      <c r="A848" s="10" t="s">
        <v>130</v>
      </c>
      <c r="B848" s="211" t="s">
        <v>13</v>
      </c>
      <c r="C848" s="11" t="s">
        <v>165</v>
      </c>
      <c r="D848" s="12" t="s">
        <v>38</v>
      </c>
      <c r="E848" s="78">
        <f>2.25*E847</f>
        <v>368.19</v>
      </c>
      <c r="F848" s="14">
        <v>0</v>
      </c>
      <c r="G848" s="102"/>
      <c r="H848" s="113">
        <f t="shared" ref="H848:H849" si="69">E848*F848</f>
        <v>0</v>
      </c>
      <c r="I848" s="15"/>
      <c r="J848" s="1"/>
      <c r="K848" s="1"/>
      <c r="P848" s="1"/>
      <c r="Q848" s="1"/>
      <c r="R848" s="1"/>
      <c r="S848" s="1"/>
    </row>
    <row r="849" spans="1:19" ht="26.25" customHeight="1" x14ac:dyDescent="0.25">
      <c r="A849" s="10" t="s">
        <v>144</v>
      </c>
      <c r="B849" s="211" t="s">
        <v>13</v>
      </c>
      <c r="C849" s="11" t="s">
        <v>626</v>
      </c>
      <c r="D849" s="12" t="s">
        <v>58</v>
      </c>
      <c r="E849" s="12">
        <v>0.8</v>
      </c>
      <c r="F849" s="14">
        <v>0</v>
      </c>
      <c r="G849" s="102"/>
      <c r="H849" s="113">
        <f t="shared" si="69"/>
        <v>0</v>
      </c>
      <c r="I849" s="15"/>
      <c r="J849" s="1"/>
      <c r="K849" s="1">
        <f>2.84*E849</f>
        <v>2.2719999999999998</v>
      </c>
      <c r="P849" s="1"/>
      <c r="Q849" s="1"/>
      <c r="R849" s="1"/>
      <c r="S849" s="1"/>
    </row>
    <row r="850" spans="1:19" ht="14.25" customHeight="1" x14ac:dyDescent="0.25">
      <c r="A850" s="10" t="s">
        <v>145</v>
      </c>
      <c r="B850" s="220" t="s">
        <v>13</v>
      </c>
      <c r="C850" s="30" t="s">
        <v>286</v>
      </c>
      <c r="D850" s="31" t="s">
        <v>58</v>
      </c>
      <c r="E850" s="32">
        <v>52.1</v>
      </c>
      <c r="F850" s="33">
        <v>0</v>
      </c>
      <c r="G850" s="102"/>
      <c r="H850" s="113">
        <f t="shared" ref="H850:H854" si="70">E850*F850</f>
        <v>0</v>
      </c>
      <c r="I850" s="15"/>
      <c r="J850" s="1"/>
      <c r="K850" s="1">
        <f>2.6*E850</f>
        <v>135.46</v>
      </c>
      <c r="P850" s="1"/>
      <c r="Q850" s="1"/>
      <c r="R850" s="1"/>
      <c r="S850" s="1"/>
    </row>
    <row r="851" spans="1:19" ht="14.25" customHeight="1" x14ac:dyDescent="0.25">
      <c r="A851" s="10" t="s">
        <v>146</v>
      </c>
      <c r="B851" s="220" t="s">
        <v>13</v>
      </c>
      <c r="C851" s="30" t="s">
        <v>299</v>
      </c>
      <c r="D851" s="31" t="s">
        <v>14</v>
      </c>
      <c r="E851" s="32">
        <v>18</v>
      </c>
      <c r="F851" s="33">
        <v>0</v>
      </c>
      <c r="G851" s="102"/>
      <c r="H851" s="113">
        <f t="shared" si="70"/>
        <v>0</v>
      </c>
      <c r="I851" s="15"/>
      <c r="J851" s="1"/>
      <c r="K851" s="1">
        <f>1.08*E851</f>
        <v>19.440000000000001</v>
      </c>
      <c r="P851" s="1"/>
      <c r="Q851" s="1"/>
      <c r="R851" s="1"/>
      <c r="S851" s="1"/>
    </row>
    <row r="852" spans="1:19" ht="14.25" customHeight="1" x14ac:dyDescent="0.25">
      <c r="A852" s="10" t="s">
        <v>147</v>
      </c>
      <c r="B852" s="220" t="s">
        <v>13</v>
      </c>
      <c r="C852" s="30" t="s">
        <v>300</v>
      </c>
      <c r="D852" s="31" t="s">
        <v>14</v>
      </c>
      <c r="E852" s="32">
        <v>1</v>
      </c>
      <c r="F852" s="33">
        <v>0</v>
      </c>
      <c r="G852" s="102"/>
      <c r="H852" s="113">
        <f t="shared" si="70"/>
        <v>0</v>
      </c>
      <c r="I852" s="15"/>
      <c r="J852" s="1"/>
      <c r="K852" s="1">
        <f>0.53*E852</f>
        <v>0.53</v>
      </c>
      <c r="P852" s="1"/>
      <c r="Q852" s="1"/>
      <c r="R852" s="1"/>
      <c r="S852" s="1"/>
    </row>
    <row r="853" spans="1:19" ht="14.25" customHeight="1" x14ac:dyDescent="0.25">
      <c r="A853" s="10" t="s">
        <v>148</v>
      </c>
      <c r="B853" s="220" t="s">
        <v>13</v>
      </c>
      <c r="C853" s="30" t="s">
        <v>627</v>
      </c>
      <c r="D853" s="31" t="s">
        <v>14</v>
      </c>
      <c r="E853" s="32">
        <v>1</v>
      </c>
      <c r="F853" s="33">
        <v>0</v>
      </c>
      <c r="G853" s="102"/>
      <c r="H853" s="113">
        <f t="shared" si="70"/>
        <v>0</v>
      </c>
      <c r="I853" s="15"/>
      <c r="J853" s="1"/>
      <c r="K853" s="1">
        <f>0.48*E853</f>
        <v>0.48</v>
      </c>
      <c r="P853" s="1"/>
      <c r="Q853" s="1"/>
      <c r="R853" s="1"/>
      <c r="S853" s="1"/>
    </row>
    <row r="854" spans="1:19" ht="34.5" customHeight="1" x14ac:dyDescent="0.25">
      <c r="A854" s="10" t="s">
        <v>150</v>
      </c>
      <c r="B854" s="220" t="s">
        <v>13</v>
      </c>
      <c r="C854" s="30" t="s">
        <v>301</v>
      </c>
      <c r="D854" s="31" t="s">
        <v>14</v>
      </c>
      <c r="E854" s="32">
        <v>6</v>
      </c>
      <c r="F854" s="33">
        <v>0</v>
      </c>
      <c r="G854" s="102"/>
      <c r="H854" s="113">
        <f t="shared" si="70"/>
        <v>0</v>
      </c>
      <c r="I854" s="15"/>
      <c r="J854" s="1"/>
      <c r="K854" s="1">
        <f>0.91*E854</f>
        <v>5.46</v>
      </c>
      <c r="P854" s="1"/>
      <c r="Q854" s="1"/>
      <c r="R854" s="1"/>
      <c r="S854" s="1"/>
    </row>
    <row r="855" spans="1:19" ht="47.25" customHeight="1" x14ac:dyDescent="0.25">
      <c r="A855" s="18">
        <v>31</v>
      </c>
      <c r="B855" s="221" t="s">
        <v>9</v>
      </c>
      <c r="C855" s="17" t="s">
        <v>180</v>
      </c>
      <c r="D855" s="18" t="s">
        <v>54</v>
      </c>
      <c r="E855" s="18">
        <v>5.28</v>
      </c>
      <c r="F855" s="13"/>
      <c r="G855" s="117">
        <v>0</v>
      </c>
      <c r="H855" s="103"/>
      <c r="I855" s="58">
        <f>E855*G855</f>
        <v>0</v>
      </c>
      <c r="J855" s="1"/>
      <c r="K855" s="1"/>
      <c r="P855" s="1"/>
      <c r="Q855" s="1"/>
      <c r="R855" s="1"/>
      <c r="S855" s="1"/>
    </row>
    <row r="856" spans="1:19" ht="14.25" customHeight="1" x14ac:dyDescent="0.25">
      <c r="A856" s="29" t="s">
        <v>131</v>
      </c>
      <c r="B856" s="220" t="s">
        <v>13</v>
      </c>
      <c r="C856" s="11" t="s">
        <v>165</v>
      </c>
      <c r="D856" s="12" t="s">
        <v>38</v>
      </c>
      <c r="E856" s="78">
        <f>2.25*E855</f>
        <v>11.88</v>
      </c>
      <c r="F856" s="14">
        <v>0</v>
      </c>
      <c r="G856" s="102"/>
      <c r="H856" s="113">
        <f>E856*F856</f>
        <v>0</v>
      </c>
      <c r="I856" s="15"/>
      <c r="J856" s="1"/>
      <c r="K856" s="1"/>
      <c r="P856" s="1"/>
      <c r="Q856" s="1"/>
      <c r="R856" s="1"/>
      <c r="S856" s="1"/>
    </row>
    <row r="857" spans="1:19" ht="14.25" customHeight="1" x14ac:dyDescent="0.25">
      <c r="A857" s="10" t="s">
        <v>132</v>
      </c>
      <c r="B857" s="220" t="s">
        <v>13</v>
      </c>
      <c r="C857" s="11" t="s">
        <v>298</v>
      </c>
      <c r="D857" s="20" t="s">
        <v>58</v>
      </c>
      <c r="E857" s="12">
        <v>2.2000000000000002</v>
      </c>
      <c r="F857" s="14">
        <v>0</v>
      </c>
      <c r="G857" s="102"/>
      <c r="H857" s="113">
        <f>E857*F857</f>
        <v>0</v>
      </c>
      <c r="I857" s="15"/>
      <c r="J857" s="1"/>
      <c r="K857" s="1">
        <f>2.4*E857</f>
        <v>5.28</v>
      </c>
      <c r="P857" s="1"/>
      <c r="Q857" s="1"/>
      <c r="R857" s="1"/>
      <c r="S857" s="1"/>
    </row>
    <row r="858" spans="1:19" ht="38.25" customHeight="1" x14ac:dyDescent="0.25">
      <c r="A858" s="18">
        <v>32</v>
      </c>
      <c r="B858" s="221" t="s">
        <v>9</v>
      </c>
      <c r="C858" s="17" t="s">
        <v>52</v>
      </c>
      <c r="D858" s="19" t="s">
        <v>14</v>
      </c>
      <c r="E858" s="18">
        <v>18</v>
      </c>
      <c r="F858" s="28"/>
      <c r="G858" s="117">
        <v>0</v>
      </c>
      <c r="H858" s="103"/>
      <c r="I858" s="58">
        <f>E858*G858</f>
        <v>0</v>
      </c>
      <c r="J858" s="1"/>
      <c r="K858" s="1"/>
      <c r="P858" s="1"/>
      <c r="Q858" s="1"/>
      <c r="R858" s="1"/>
      <c r="S858" s="1"/>
    </row>
    <row r="859" spans="1:19" ht="45" x14ac:dyDescent="0.25">
      <c r="A859" s="29" t="s">
        <v>133</v>
      </c>
      <c r="B859" s="220" t="s">
        <v>13</v>
      </c>
      <c r="C859" s="30" t="s">
        <v>463</v>
      </c>
      <c r="D859" s="31" t="s">
        <v>14</v>
      </c>
      <c r="E859" s="32">
        <v>18</v>
      </c>
      <c r="F859" s="33">
        <v>0</v>
      </c>
      <c r="G859" s="102"/>
      <c r="H859" s="113">
        <f>E859*F859</f>
        <v>0</v>
      </c>
      <c r="I859" s="15"/>
      <c r="J859" s="1"/>
      <c r="K859" s="1"/>
      <c r="P859" s="1"/>
      <c r="Q859" s="1"/>
      <c r="R859" s="1"/>
      <c r="S859" s="1"/>
    </row>
    <row r="860" spans="1:19" ht="45" customHeight="1" x14ac:dyDescent="0.25">
      <c r="A860" s="173" t="s">
        <v>134</v>
      </c>
      <c r="B860" s="234" t="s">
        <v>9</v>
      </c>
      <c r="C860" s="17" t="s">
        <v>211</v>
      </c>
      <c r="D860" s="19" t="s">
        <v>54</v>
      </c>
      <c r="E860" s="18">
        <v>152.4</v>
      </c>
      <c r="F860" s="28"/>
      <c r="G860" s="117">
        <v>0</v>
      </c>
      <c r="H860" s="103"/>
      <c r="I860" s="58">
        <f>E860*G860</f>
        <v>0</v>
      </c>
      <c r="J860" s="1"/>
      <c r="K860" s="1"/>
      <c r="P860" s="1"/>
      <c r="Q860" s="1"/>
      <c r="R860" s="1"/>
      <c r="S860" s="1"/>
    </row>
    <row r="861" spans="1:19" ht="14.25" customHeight="1" x14ac:dyDescent="0.25">
      <c r="A861" s="29" t="s">
        <v>135</v>
      </c>
      <c r="B861" s="220" t="s">
        <v>13</v>
      </c>
      <c r="C861" s="188" t="s">
        <v>209</v>
      </c>
      <c r="D861" s="90" t="s">
        <v>54</v>
      </c>
      <c r="E861" s="12">
        <f>1.1*E860</f>
        <v>167.64</v>
      </c>
      <c r="F861" s="33">
        <v>0</v>
      </c>
      <c r="G861" s="102"/>
      <c r="H861" s="113">
        <f>E861*F861</f>
        <v>0</v>
      </c>
      <c r="I861" s="15"/>
      <c r="J861" s="1"/>
      <c r="K861" s="1"/>
      <c r="P861" s="1"/>
      <c r="Q861" s="1"/>
      <c r="R861" s="1"/>
      <c r="S861" s="1"/>
    </row>
    <row r="862" spans="1:19" ht="14.25" customHeight="1" thickBot="1" x14ac:dyDescent="0.3">
      <c r="A862" s="129" t="s">
        <v>136</v>
      </c>
      <c r="B862" s="381" t="s">
        <v>13</v>
      </c>
      <c r="C862" s="55" t="s">
        <v>266</v>
      </c>
      <c r="D862" s="94" t="s">
        <v>38</v>
      </c>
      <c r="E862" s="141">
        <f>0.7*E860</f>
        <v>106.68</v>
      </c>
      <c r="F862" s="186">
        <v>0</v>
      </c>
      <c r="G862" s="114"/>
      <c r="H862" s="120">
        <f>E862*F862</f>
        <v>0</v>
      </c>
      <c r="I862" s="127"/>
      <c r="J862" s="1"/>
      <c r="K862" s="1"/>
      <c r="P862" s="1"/>
      <c r="Q862" s="1"/>
      <c r="R862" s="1"/>
      <c r="S862" s="1"/>
    </row>
    <row r="863" spans="1:19" ht="14.25" customHeight="1" thickBot="1" x14ac:dyDescent="0.3">
      <c r="A863" s="83"/>
      <c r="B863" s="241"/>
      <c r="C863" s="270" t="s">
        <v>417</v>
      </c>
      <c r="D863" s="48"/>
      <c r="E863" s="48"/>
      <c r="F863" s="144"/>
      <c r="G863" s="52"/>
      <c r="H863" s="99">
        <f>SUM(H843:H862)</f>
        <v>0</v>
      </c>
      <c r="I863" s="86">
        <f>SUM(I842:I862)</f>
        <v>0</v>
      </c>
      <c r="J863" s="1"/>
      <c r="K863" s="1"/>
      <c r="P863" s="1"/>
      <c r="Q863" s="1"/>
      <c r="R863" s="1"/>
      <c r="S863" s="1"/>
    </row>
    <row r="864" spans="1:19" ht="14.25" customHeight="1" thickBot="1" x14ac:dyDescent="0.3">
      <c r="A864" s="83"/>
      <c r="B864" s="241"/>
      <c r="C864" s="98" t="s">
        <v>455</v>
      </c>
      <c r="D864" s="48"/>
      <c r="E864" s="48"/>
      <c r="F864" s="144"/>
      <c r="G864" s="52"/>
      <c r="H864" s="99">
        <f>H740+H759+H789+H819+H840+H863</f>
        <v>0</v>
      </c>
      <c r="I864" s="86">
        <f>I740+I759+I789+I819+I840+I863</f>
        <v>0</v>
      </c>
      <c r="J864" s="1"/>
      <c r="K864" s="1"/>
      <c r="P864" s="1"/>
      <c r="Q864" s="1"/>
      <c r="R864" s="1"/>
      <c r="S864" s="1"/>
    </row>
    <row r="865" spans="1:19" ht="14.25" customHeight="1" thickBot="1" x14ac:dyDescent="0.3">
      <c r="A865" s="83"/>
      <c r="B865" s="241"/>
      <c r="C865" s="98" t="s">
        <v>456</v>
      </c>
      <c r="D865" s="48"/>
      <c r="E865" s="48"/>
      <c r="F865" s="144"/>
      <c r="G865" s="52"/>
      <c r="H865" s="132"/>
      <c r="I865" s="86">
        <f>H864+I864</f>
        <v>0</v>
      </c>
      <c r="J865" s="1"/>
      <c r="K865" s="1"/>
      <c r="P865" s="1"/>
      <c r="Q865" s="1"/>
      <c r="R865" s="1"/>
      <c r="S865" s="1"/>
    </row>
    <row r="866" spans="1:19" ht="14.25" customHeight="1" thickBot="1" x14ac:dyDescent="0.3">
      <c r="A866" s="83"/>
      <c r="B866" s="241"/>
      <c r="C866" s="254" t="s">
        <v>836</v>
      </c>
      <c r="D866" s="49"/>
      <c r="E866" s="48"/>
      <c r="F866" s="384"/>
      <c r="G866" s="385"/>
      <c r="H866" s="132"/>
      <c r="I866" s="86">
        <f>I621+I721+I865</f>
        <v>0</v>
      </c>
      <c r="J866" s="1"/>
      <c r="K866" s="1"/>
      <c r="P866" s="1"/>
      <c r="Q866" s="1"/>
      <c r="R866" s="1"/>
      <c r="S866" s="1"/>
    </row>
    <row r="867" spans="1:19" ht="16.5" thickBot="1" x14ac:dyDescent="0.3">
      <c r="A867" s="157"/>
      <c r="B867" s="236"/>
      <c r="C867" s="286" t="s">
        <v>628</v>
      </c>
      <c r="D867" s="158"/>
      <c r="E867" s="158"/>
      <c r="F867" s="159"/>
      <c r="G867" s="160"/>
      <c r="H867" s="161"/>
      <c r="I867" s="162"/>
      <c r="J867" s="1"/>
      <c r="K867" s="1"/>
      <c r="P867" s="1"/>
      <c r="Q867" s="1"/>
      <c r="R867" s="1"/>
      <c r="S867" s="1"/>
    </row>
    <row r="868" spans="1:19" ht="15.75" thickBot="1" x14ac:dyDescent="0.3">
      <c r="A868" s="140"/>
      <c r="B868" s="163" t="s">
        <v>837</v>
      </c>
      <c r="C868" s="156" t="s">
        <v>629</v>
      </c>
      <c r="D868" s="49"/>
      <c r="E868" s="49"/>
      <c r="F868" s="132"/>
      <c r="G868" s="109"/>
      <c r="H868" s="144"/>
      <c r="I868" s="52"/>
      <c r="J868" s="1"/>
      <c r="K868" s="1"/>
      <c r="P868" s="1"/>
      <c r="Q868" s="1"/>
      <c r="R868" s="1"/>
      <c r="S868" s="1"/>
    </row>
    <row r="869" spans="1:19" x14ac:dyDescent="0.25">
      <c r="A869" s="173" t="s">
        <v>46</v>
      </c>
      <c r="B869" s="201" t="s">
        <v>9</v>
      </c>
      <c r="C869" s="196" t="s">
        <v>212</v>
      </c>
      <c r="D869" s="56" t="s">
        <v>14</v>
      </c>
      <c r="E869" s="57">
        <v>857</v>
      </c>
      <c r="F869" s="150"/>
      <c r="G869" s="146">
        <v>0</v>
      </c>
      <c r="H869" s="143"/>
      <c r="I869" s="65">
        <f>E869*G869</f>
        <v>0</v>
      </c>
      <c r="J869" s="1"/>
      <c r="K869" s="1"/>
    </row>
    <row r="870" spans="1:19" ht="15.75" thickBot="1" x14ac:dyDescent="0.3">
      <c r="A870" s="34" t="s">
        <v>12</v>
      </c>
      <c r="B870" s="202" t="s">
        <v>13</v>
      </c>
      <c r="C870" s="123" t="s">
        <v>213</v>
      </c>
      <c r="D870" s="59" t="s">
        <v>14</v>
      </c>
      <c r="E870" s="60">
        <v>857</v>
      </c>
      <c r="F870" s="61">
        <v>0</v>
      </c>
      <c r="G870" s="107"/>
      <c r="H870" s="111">
        <f>E870*F870</f>
        <v>0</v>
      </c>
      <c r="I870" s="44"/>
      <c r="J870" s="1"/>
      <c r="K870" s="1"/>
    </row>
    <row r="871" spans="1:19" ht="15.75" thickBot="1" x14ac:dyDescent="0.3">
      <c r="A871" s="39"/>
      <c r="B871" s="238"/>
      <c r="C871" s="5" t="s">
        <v>44</v>
      </c>
      <c r="D871" s="79"/>
      <c r="E871" s="80"/>
      <c r="F871" s="81"/>
      <c r="G871" s="7"/>
      <c r="H871" s="8">
        <f>SUM(H869:H870)</f>
        <v>0</v>
      </c>
      <c r="I871" s="42">
        <f>SUM(I869:I870)</f>
        <v>0</v>
      </c>
      <c r="J871" s="1"/>
      <c r="K871" s="1"/>
    </row>
    <row r="872" spans="1:19" ht="15.75" thickBot="1" x14ac:dyDescent="0.3">
      <c r="A872" s="138"/>
      <c r="B872" s="208"/>
      <c r="C872" s="174" t="s">
        <v>630</v>
      </c>
      <c r="D872" s="41"/>
      <c r="E872" s="41"/>
      <c r="F872" s="81"/>
      <c r="G872" s="106"/>
      <c r="H872" s="110"/>
      <c r="I872" s="9"/>
      <c r="J872" s="1"/>
      <c r="K872" s="1"/>
    </row>
    <row r="873" spans="1:19" ht="42.75" x14ac:dyDescent="0.25">
      <c r="A873" s="67" t="s">
        <v>16</v>
      </c>
      <c r="B873" s="204" t="s">
        <v>9</v>
      </c>
      <c r="C873" s="177" t="s">
        <v>53</v>
      </c>
      <c r="D873" s="69" t="s">
        <v>54</v>
      </c>
      <c r="E873" s="69">
        <v>169.93</v>
      </c>
      <c r="F873" s="96"/>
      <c r="G873" s="42">
        <v>0</v>
      </c>
      <c r="H873" s="96"/>
      <c r="I873" s="42">
        <f>E873*G873</f>
        <v>0</v>
      </c>
      <c r="J873" s="1"/>
      <c r="K873" s="1">
        <f>K875+K876+K877+K878+K879+K880</f>
        <v>169.93</v>
      </c>
    </row>
    <row r="874" spans="1:19" x14ac:dyDescent="0.25">
      <c r="A874" s="29" t="s">
        <v>17</v>
      </c>
      <c r="B874" s="205" t="s">
        <v>13</v>
      </c>
      <c r="C874" s="73" t="s">
        <v>55</v>
      </c>
      <c r="D874" s="71" t="s">
        <v>38</v>
      </c>
      <c r="E874" s="72">
        <f>0.606*E873</f>
        <v>102.98</v>
      </c>
      <c r="F874" s="33">
        <v>0</v>
      </c>
      <c r="G874" s="15"/>
      <c r="H874" s="33">
        <f>E874*F874</f>
        <v>0</v>
      </c>
      <c r="I874" s="15"/>
      <c r="J874" s="1"/>
      <c r="K874" s="1"/>
    </row>
    <row r="875" spans="1:19" x14ac:dyDescent="0.25">
      <c r="A875" s="29" t="s">
        <v>18</v>
      </c>
      <c r="B875" s="205" t="s">
        <v>13</v>
      </c>
      <c r="C875" s="73" t="s">
        <v>56</v>
      </c>
      <c r="D875" s="71" t="s">
        <v>58</v>
      </c>
      <c r="E875" s="71">
        <v>356.9</v>
      </c>
      <c r="F875" s="33">
        <v>0</v>
      </c>
      <c r="G875" s="15"/>
      <c r="H875" s="33">
        <f>E875*F875</f>
        <v>0</v>
      </c>
      <c r="I875" s="15"/>
      <c r="J875" s="1"/>
      <c r="K875" s="1">
        <v>112.12</v>
      </c>
    </row>
    <row r="876" spans="1:19" ht="30" x14ac:dyDescent="0.25">
      <c r="A876" s="29" t="s">
        <v>47</v>
      </c>
      <c r="B876" s="205" t="s">
        <v>13</v>
      </c>
      <c r="C876" s="366" t="s">
        <v>172</v>
      </c>
      <c r="D876" s="71" t="s">
        <v>14</v>
      </c>
      <c r="E876" s="71">
        <v>127</v>
      </c>
      <c r="F876" s="33">
        <v>0</v>
      </c>
      <c r="G876" s="15"/>
      <c r="H876" s="33">
        <f t="shared" ref="H876:H877" si="71">E876*F876</f>
        <v>0</v>
      </c>
      <c r="I876" s="15"/>
      <c r="J876" s="1"/>
      <c r="K876" s="1">
        <f>0.05*E876</f>
        <v>6.35</v>
      </c>
    </row>
    <row r="877" spans="1:19" ht="30" x14ac:dyDescent="0.25">
      <c r="A877" s="29" t="s">
        <v>49</v>
      </c>
      <c r="B877" s="205" t="s">
        <v>13</v>
      </c>
      <c r="C877" s="366" t="s">
        <v>173</v>
      </c>
      <c r="D877" s="71" t="s">
        <v>14</v>
      </c>
      <c r="E877" s="71">
        <v>127</v>
      </c>
      <c r="F877" s="33">
        <v>0</v>
      </c>
      <c r="G877" s="15"/>
      <c r="H877" s="33">
        <f t="shared" si="71"/>
        <v>0</v>
      </c>
      <c r="I877" s="15"/>
      <c r="J877" s="1"/>
      <c r="K877" s="1">
        <f>0.06*E877</f>
        <v>7.62</v>
      </c>
    </row>
    <row r="878" spans="1:19" ht="30" x14ac:dyDescent="0.25">
      <c r="A878" s="29" t="s">
        <v>50</v>
      </c>
      <c r="B878" s="205" t="s">
        <v>13</v>
      </c>
      <c r="C878" s="366" t="s">
        <v>631</v>
      </c>
      <c r="D878" s="71" t="s">
        <v>14</v>
      </c>
      <c r="E878" s="71">
        <v>4</v>
      </c>
      <c r="F878" s="33">
        <v>0</v>
      </c>
      <c r="G878" s="15"/>
      <c r="H878" s="33">
        <f>E878*F878</f>
        <v>0</v>
      </c>
      <c r="I878" s="15"/>
      <c r="J878" s="1"/>
      <c r="K878" s="1">
        <f>0.06*E878</f>
        <v>0.24</v>
      </c>
    </row>
    <row r="879" spans="1:19" ht="30" x14ac:dyDescent="0.25">
      <c r="A879" s="29" t="s">
        <v>192</v>
      </c>
      <c r="B879" s="205" t="s">
        <v>13</v>
      </c>
      <c r="C879" s="366" t="s">
        <v>633</v>
      </c>
      <c r="D879" s="71" t="s">
        <v>14</v>
      </c>
      <c r="E879" s="71">
        <v>1</v>
      </c>
      <c r="F879" s="33">
        <v>0</v>
      </c>
      <c r="G879" s="15"/>
      <c r="H879" s="33">
        <f>E879*F879</f>
        <v>0</v>
      </c>
      <c r="I879" s="15"/>
      <c r="J879" s="1"/>
      <c r="K879" s="1">
        <f>0.1*E879</f>
        <v>0.1</v>
      </c>
    </row>
    <row r="880" spans="1:19" x14ac:dyDescent="0.25">
      <c r="A880" s="29" t="s">
        <v>838</v>
      </c>
      <c r="B880" s="205" t="s">
        <v>13</v>
      </c>
      <c r="C880" s="366" t="s">
        <v>460</v>
      </c>
      <c r="D880" s="71" t="s">
        <v>14</v>
      </c>
      <c r="E880" s="71">
        <v>435</v>
      </c>
      <c r="F880" s="33">
        <v>0</v>
      </c>
      <c r="G880" s="15"/>
      <c r="H880" s="33">
        <f>E880*F880</f>
        <v>0</v>
      </c>
      <c r="I880" s="15"/>
      <c r="J880" s="1"/>
      <c r="K880" s="1">
        <f>0.1*E880</f>
        <v>43.5</v>
      </c>
    </row>
    <row r="881" spans="1:11" ht="42.75" x14ac:dyDescent="0.25">
      <c r="A881" s="26" t="s">
        <v>19</v>
      </c>
      <c r="B881" s="228" t="s">
        <v>9</v>
      </c>
      <c r="C881" s="178" t="s">
        <v>153</v>
      </c>
      <c r="D881" s="75" t="s">
        <v>54</v>
      </c>
      <c r="E881" s="75">
        <v>174.54</v>
      </c>
      <c r="F881" s="28"/>
      <c r="G881" s="58">
        <v>0</v>
      </c>
      <c r="H881" s="28"/>
      <c r="I881" s="58">
        <f>E881*G881</f>
        <v>0</v>
      </c>
      <c r="J881" s="1"/>
      <c r="K881" s="1">
        <f>K883+K884+K885+K886</f>
        <v>174.54</v>
      </c>
    </row>
    <row r="882" spans="1:11" x14ac:dyDescent="0.25">
      <c r="A882" s="29" t="s">
        <v>21</v>
      </c>
      <c r="B882" s="205" t="s">
        <v>13</v>
      </c>
      <c r="C882" s="73" t="s">
        <v>55</v>
      </c>
      <c r="D882" s="71" t="s">
        <v>38</v>
      </c>
      <c r="E882" s="72">
        <f>0.606*E881</f>
        <v>105.77</v>
      </c>
      <c r="F882" s="33">
        <v>0</v>
      </c>
      <c r="G882" s="15"/>
      <c r="H882" s="33">
        <f t="shared" ref="H882:H887" si="72">E882*F882</f>
        <v>0</v>
      </c>
      <c r="I882" s="15"/>
      <c r="J882" s="1"/>
      <c r="K882" s="1"/>
    </row>
    <row r="883" spans="1:11" x14ac:dyDescent="0.25">
      <c r="A883" s="29" t="s">
        <v>22</v>
      </c>
      <c r="B883" s="205" t="s">
        <v>13</v>
      </c>
      <c r="C883" s="73" t="s">
        <v>155</v>
      </c>
      <c r="D883" s="71" t="s">
        <v>58</v>
      </c>
      <c r="E883" s="71">
        <v>450.1</v>
      </c>
      <c r="F883" s="33">
        <v>0</v>
      </c>
      <c r="G883" s="15"/>
      <c r="H883" s="33">
        <f t="shared" si="72"/>
        <v>0</v>
      </c>
      <c r="I883" s="15"/>
      <c r="J883" s="1"/>
      <c r="K883" s="1">
        <v>141.4</v>
      </c>
    </row>
    <row r="884" spans="1:11" x14ac:dyDescent="0.25">
      <c r="A884" s="29" t="s">
        <v>59</v>
      </c>
      <c r="B884" s="205" t="s">
        <v>13</v>
      </c>
      <c r="C884" s="73" t="s">
        <v>158</v>
      </c>
      <c r="D884" s="71" t="s">
        <v>14</v>
      </c>
      <c r="E884" s="71">
        <v>254</v>
      </c>
      <c r="F884" s="33">
        <v>0</v>
      </c>
      <c r="G884" s="15"/>
      <c r="H884" s="33">
        <f t="shared" si="72"/>
        <v>0</v>
      </c>
      <c r="I884" s="15"/>
      <c r="J884" s="1"/>
      <c r="K884" s="1">
        <f>0.03*E884</f>
        <v>7.62</v>
      </c>
    </row>
    <row r="885" spans="1:11" ht="30" x14ac:dyDescent="0.25">
      <c r="A885" s="29" t="s">
        <v>371</v>
      </c>
      <c r="B885" s="205" t="s">
        <v>13</v>
      </c>
      <c r="C885" s="73" t="s">
        <v>632</v>
      </c>
      <c r="D885" s="71" t="s">
        <v>14</v>
      </c>
      <c r="E885" s="71">
        <v>2</v>
      </c>
      <c r="F885" s="33">
        <v>0</v>
      </c>
      <c r="G885" s="15"/>
      <c r="H885" s="33">
        <f t="shared" si="72"/>
        <v>0</v>
      </c>
      <c r="I885" s="15"/>
      <c r="J885" s="1"/>
      <c r="K885" s="1">
        <f>0.06*E885</f>
        <v>0.12</v>
      </c>
    </row>
    <row r="886" spans="1:11" x14ac:dyDescent="0.25">
      <c r="A886" s="29" t="s">
        <v>372</v>
      </c>
      <c r="B886" s="205" t="s">
        <v>13</v>
      </c>
      <c r="C886" s="73" t="s">
        <v>461</v>
      </c>
      <c r="D886" s="71" t="s">
        <v>14</v>
      </c>
      <c r="E886" s="71">
        <v>254</v>
      </c>
      <c r="F886" s="33">
        <v>0</v>
      </c>
      <c r="G886" s="15"/>
      <c r="H886" s="33">
        <f t="shared" si="72"/>
        <v>0</v>
      </c>
      <c r="I886" s="15"/>
      <c r="J886" s="1"/>
      <c r="K886" s="1">
        <f>0.1*E886</f>
        <v>25.4</v>
      </c>
    </row>
    <row r="887" spans="1:11" ht="30" x14ac:dyDescent="0.25">
      <c r="A887" s="29" t="s">
        <v>467</v>
      </c>
      <c r="B887" s="205" t="s">
        <v>13</v>
      </c>
      <c r="C887" s="77" t="s">
        <v>156</v>
      </c>
      <c r="D887" s="20" t="s">
        <v>14</v>
      </c>
      <c r="E887" s="20">
        <v>254</v>
      </c>
      <c r="F887" s="33">
        <v>0</v>
      </c>
      <c r="G887" s="15"/>
      <c r="H887" s="33">
        <f t="shared" si="72"/>
        <v>0</v>
      </c>
      <c r="I887" s="15"/>
      <c r="J887" s="1"/>
      <c r="K887" s="1"/>
    </row>
    <row r="888" spans="1:11" ht="42.75" x14ac:dyDescent="0.25">
      <c r="A888" s="26" t="s">
        <v>23</v>
      </c>
      <c r="B888" s="239" t="s">
        <v>9</v>
      </c>
      <c r="C888" s="179" t="s">
        <v>157</v>
      </c>
      <c r="D888" s="19" t="s">
        <v>54</v>
      </c>
      <c r="E888" s="19">
        <v>84.46</v>
      </c>
      <c r="F888" s="28"/>
      <c r="G888" s="58">
        <v>0</v>
      </c>
      <c r="H888" s="28"/>
      <c r="I888" s="58">
        <f>E888*G888</f>
        <v>0</v>
      </c>
      <c r="J888" s="1"/>
      <c r="K888" s="1">
        <f>K890+K891+K892+K893+K894</f>
        <v>84.46</v>
      </c>
    </row>
    <row r="889" spans="1:11" x14ac:dyDescent="0.25">
      <c r="A889" s="29" t="s">
        <v>24</v>
      </c>
      <c r="B889" s="205" t="s">
        <v>13</v>
      </c>
      <c r="C889" s="180" t="s">
        <v>165</v>
      </c>
      <c r="D889" s="20" t="s">
        <v>38</v>
      </c>
      <c r="E889" s="76">
        <f>0.712*E888</f>
        <v>60.14</v>
      </c>
      <c r="F889" s="33">
        <v>0</v>
      </c>
      <c r="G889" s="15"/>
      <c r="H889" s="33">
        <f t="shared" ref="H889:H894" si="73">E889*F889</f>
        <v>0</v>
      </c>
      <c r="I889" s="15"/>
      <c r="J889" s="1"/>
      <c r="K889" s="1"/>
    </row>
    <row r="890" spans="1:11" x14ac:dyDescent="0.25">
      <c r="A890" s="29" t="s">
        <v>60</v>
      </c>
      <c r="B890" s="205" t="s">
        <v>13</v>
      </c>
      <c r="C890" s="180" t="s">
        <v>160</v>
      </c>
      <c r="D890" s="20" t="s">
        <v>58</v>
      </c>
      <c r="E890" s="20">
        <v>1.8</v>
      </c>
      <c r="F890" s="33">
        <v>0</v>
      </c>
      <c r="G890" s="15"/>
      <c r="H890" s="33">
        <f t="shared" si="73"/>
        <v>0</v>
      </c>
      <c r="I890" s="15"/>
      <c r="J890" s="1"/>
      <c r="K890" s="1">
        <f>0.8*E890</f>
        <v>1.44</v>
      </c>
    </row>
    <row r="891" spans="1:11" x14ac:dyDescent="0.25">
      <c r="A891" s="29" t="s">
        <v>138</v>
      </c>
      <c r="B891" s="205" t="s">
        <v>13</v>
      </c>
      <c r="C891" s="180" t="s">
        <v>161</v>
      </c>
      <c r="D891" s="20" t="s">
        <v>58</v>
      </c>
      <c r="E891" s="20">
        <v>101.9</v>
      </c>
      <c r="F891" s="33">
        <v>0</v>
      </c>
      <c r="G891" s="15"/>
      <c r="H891" s="33">
        <f t="shared" si="73"/>
        <v>0</v>
      </c>
      <c r="I891" s="15"/>
      <c r="J891" s="1"/>
      <c r="K891" s="1">
        <f>0.8*E891</f>
        <v>81.52</v>
      </c>
    </row>
    <row r="892" spans="1:11" x14ac:dyDescent="0.25">
      <c r="A892" s="29" t="s">
        <v>373</v>
      </c>
      <c r="B892" s="205" t="s">
        <v>13</v>
      </c>
      <c r="C892" s="180" t="s">
        <v>162</v>
      </c>
      <c r="D892" s="20" t="s">
        <v>14</v>
      </c>
      <c r="E892" s="20">
        <v>2</v>
      </c>
      <c r="F892" s="33">
        <v>0</v>
      </c>
      <c r="G892" s="15"/>
      <c r="H892" s="33">
        <f t="shared" si="73"/>
        <v>0</v>
      </c>
      <c r="I892" s="15"/>
      <c r="J892" s="1"/>
      <c r="K892" s="1">
        <f>0.28*E892</f>
        <v>0.56000000000000005</v>
      </c>
    </row>
    <row r="893" spans="1:11" x14ac:dyDescent="0.25">
      <c r="A893" s="29" t="s">
        <v>374</v>
      </c>
      <c r="B893" s="205" t="s">
        <v>13</v>
      </c>
      <c r="C893" s="180" t="s">
        <v>171</v>
      </c>
      <c r="D893" s="20" t="s">
        <v>14</v>
      </c>
      <c r="E893" s="20">
        <v>2</v>
      </c>
      <c r="F893" s="33">
        <v>0</v>
      </c>
      <c r="G893" s="15"/>
      <c r="H893" s="33">
        <f t="shared" si="73"/>
        <v>0</v>
      </c>
      <c r="I893" s="15"/>
      <c r="J893" s="1"/>
      <c r="K893" s="1">
        <f>0.08*E893</f>
        <v>0.16</v>
      </c>
    </row>
    <row r="894" spans="1:11" ht="30" x14ac:dyDescent="0.25">
      <c r="A894" s="29" t="s">
        <v>375</v>
      </c>
      <c r="B894" s="205" t="s">
        <v>13</v>
      </c>
      <c r="C894" s="180" t="s">
        <v>164</v>
      </c>
      <c r="D894" s="20" t="s">
        <v>14</v>
      </c>
      <c r="E894" s="20">
        <v>2</v>
      </c>
      <c r="F894" s="33">
        <v>0</v>
      </c>
      <c r="G894" s="15"/>
      <c r="H894" s="33">
        <f t="shared" si="73"/>
        <v>0</v>
      </c>
      <c r="I894" s="15"/>
      <c r="J894" s="1"/>
      <c r="K894" s="1">
        <f>0.39*E894</f>
        <v>0.78</v>
      </c>
    </row>
    <row r="895" spans="1:11" ht="42.75" x14ac:dyDescent="0.25">
      <c r="A895" s="26" t="s">
        <v>51</v>
      </c>
      <c r="B895" s="228" t="s">
        <v>9</v>
      </c>
      <c r="C895" s="178" t="s">
        <v>166</v>
      </c>
      <c r="D895" s="19" t="s">
        <v>54</v>
      </c>
      <c r="E895" s="19">
        <v>534.12</v>
      </c>
      <c r="F895" s="28"/>
      <c r="G895" s="58">
        <v>0</v>
      </c>
      <c r="H895" s="28"/>
      <c r="I895" s="58">
        <f>E895*G895</f>
        <v>0</v>
      </c>
      <c r="J895" s="1"/>
      <c r="K895" s="1">
        <f>K897+K898+K899+K900+K901+K902+K903+K904+K905+K906+K907+K908+K909+K910</f>
        <v>534.12</v>
      </c>
    </row>
    <row r="896" spans="1:11" x14ac:dyDescent="0.25">
      <c r="A896" s="29" t="s">
        <v>26</v>
      </c>
      <c r="B896" s="205" t="s">
        <v>13</v>
      </c>
      <c r="C896" s="77" t="s">
        <v>55</v>
      </c>
      <c r="D896" s="20" t="s">
        <v>38</v>
      </c>
      <c r="E896" s="76">
        <f>1.22*E895</f>
        <v>651.63</v>
      </c>
      <c r="F896" s="33">
        <v>0</v>
      </c>
      <c r="G896" s="15"/>
      <c r="H896" s="33">
        <f t="shared" ref="H896:H910" si="74">E896*F896</f>
        <v>0</v>
      </c>
      <c r="I896" s="15"/>
      <c r="J896" s="1"/>
      <c r="K896" s="1"/>
    </row>
    <row r="897" spans="1:11" x14ac:dyDescent="0.25">
      <c r="A897" s="29" t="s">
        <v>27</v>
      </c>
      <c r="B897" s="205" t="s">
        <v>13</v>
      </c>
      <c r="C897" s="77" t="s">
        <v>167</v>
      </c>
      <c r="D897" s="20" t="s">
        <v>58</v>
      </c>
      <c r="E897" s="20">
        <v>102</v>
      </c>
      <c r="F897" s="33">
        <v>0</v>
      </c>
      <c r="G897" s="15"/>
      <c r="H897" s="33">
        <f t="shared" si="74"/>
        <v>0</v>
      </c>
      <c r="I897" s="15"/>
      <c r="J897" s="1"/>
      <c r="K897" s="1">
        <f>1.3*E897</f>
        <v>132.6</v>
      </c>
    </row>
    <row r="898" spans="1:11" x14ac:dyDescent="0.25">
      <c r="A898" s="29" t="s">
        <v>28</v>
      </c>
      <c r="B898" s="205" t="s">
        <v>13</v>
      </c>
      <c r="C898" s="77" t="s">
        <v>168</v>
      </c>
      <c r="D898" s="20" t="s">
        <v>58</v>
      </c>
      <c r="E898" s="20">
        <v>204.6</v>
      </c>
      <c r="F898" s="33">
        <v>0</v>
      </c>
      <c r="G898" s="15"/>
      <c r="H898" s="33">
        <f t="shared" si="74"/>
        <v>0</v>
      </c>
      <c r="I898" s="15"/>
      <c r="J898" s="1"/>
      <c r="K898" s="1">
        <f>1.5*E898</f>
        <v>306.89999999999998</v>
      </c>
    </row>
    <row r="899" spans="1:11" x14ac:dyDescent="0.25">
      <c r="A899" s="29" t="s">
        <v>62</v>
      </c>
      <c r="B899" s="205" t="s">
        <v>13</v>
      </c>
      <c r="C899" s="77" t="s">
        <v>169</v>
      </c>
      <c r="D899" s="20" t="s">
        <v>58</v>
      </c>
      <c r="E899" s="20">
        <v>2.6</v>
      </c>
      <c r="F899" s="33">
        <v>0</v>
      </c>
      <c r="G899" s="15"/>
      <c r="H899" s="33">
        <f t="shared" si="74"/>
        <v>0</v>
      </c>
      <c r="I899" s="15"/>
      <c r="J899" s="1"/>
      <c r="K899" s="1">
        <f>1.3*E899</f>
        <v>3.38</v>
      </c>
    </row>
    <row r="900" spans="1:11" x14ac:dyDescent="0.25">
      <c r="A900" s="29" t="s">
        <v>232</v>
      </c>
      <c r="B900" s="205" t="s">
        <v>13</v>
      </c>
      <c r="C900" s="77" t="s">
        <v>170</v>
      </c>
      <c r="D900" s="20" t="s">
        <v>58</v>
      </c>
      <c r="E900" s="20">
        <v>52.6</v>
      </c>
      <c r="F900" s="33">
        <v>0</v>
      </c>
      <c r="G900" s="15"/>
      <c r="H900" s="33">
        <f t="shared" si="74"/>
        <v>0</v>
      </c>
      <c r="I900" s="15"/>
      <c r="J900" s="1"/>
      <c r="K900" s="1">
        <f>1.5*E900</f>
        <v>78.900000000000006</v>
      </c>
    </row>
    <row r="901" spans="1:11" x14ac:dyDescent="0.25">
      <c r="A901" s="29" t="s">
        <v>378</v>
      </c>
      <c r="B901" s="205" t="s">
        <v>13</v>
      </c>
      <c r="C901" s="77" t="s">
        <v>635</v>
      </c>
      <c r="D901" s="20" t="s">
        <v>14</v>
      </c>
      <c r="E901" s="20">
        <v>1</v>
      </c>
      <c r="F901" s="33">
        <v>0</v>
      </c>
      <c r="G901" s="15"/>
      <c r="H901" s="33">
        <f t="shared" si="74"/>
        <v>0</v>
      </c>
      <c r="I901" s="15"/>
      <c r="J901" s="1"/>
      <c r="K901" s="1">
        <f>0.2*E901</f>
        <v>0.2</v>
      </c>
    </row>
    <row r="902" spans="1:11" x14ac:dyDescent="0.25">
      <c r="A902" s="29" t="s">
        <v>379</v>
      </c>
      <c r="B902" s="205" t="s">
        <v>13</v>
      </c>
      <c r="C902" s="77" t="s">
        <v>634</v>
      </c>
      <c r="D902" s="20" t="s">
        <v>14</v>
      </c>
      <c r="E902" s="20">
        <v>4</v>
      </c>
      <c r="F902" s="33">
        <v>0</v>
      </c>
      <c r="G902" s="15"/>
      <c r="H902" s="33">
        <f t="shared" si="74"/>
        <v>0</v>
      </c>
      <c r="I902" s="15"/>
      <c r="J902" s="1"/>
      <c r="K902" s="1">
        <f>0.53*E902</f>
        <v>2.12</v>
      </c>
    </row>
    <row r="903" spans="1:11" x14ac:dyDescent="0.25">
      <c r="A903" s="29" t="s">
        <v>380</v>
      </c>
      <c r="B903" s="205" t="s">
        <v>13</v>
      </c>
      <c r="C903" s="77" t="s">
        <v>174</v>
      </c>
      <c r="D903" s="20" t="s">
        <v>14</v>
      </c>
      <c r="E903" s="20">
        <v>1</v>
      </c>
      <c r="F903" s="33">
        <v>0</v>
      </c>
      <c r="G903" s="15"/>
      <c r="H903" s="33">
        <f t="shared" si="74"/>
        <v>0</v>
      </c>
      <c r="I903" s="15"/>
      <c r="J903" s="1"/>
      <c r="K903" s="1">
        <f>0.46*E903</f>
        <v>0.46</v>
      </c>
    </row>
    <row r="904" spans="1:11" x14ac:dyDescent="0.25">
      <c r="A904" s="29" t="s">
        <v>381</v>
      </c>
      <c r="B904" s="205" t="s">
        <v>13</v>
      </c>
      <c r="C904" s="77" t="s">
        <v>315</v>
      </c>
      <c r="D904" s="20" t="s">
        <v>14</v>
      </c>
      <c r="E904" s="20">
        <v>4</v>
      </c>
      <c r="F904" s="33">
        <v>0</v>
      </c>
      <c r="G904" s="15"/>
      <c r="H904" s="33">
        <f t="shared" si="74"/>
        <v>0</v>
      </c>
      <c r="I904" s="15"/>
      <c r="J904" s="1"/>
      <c r="K904" s="1">
        <f>0.2*E904</f>
        <v>0.8</v>
      </c>
    </row>
    <row r="905" spans="1:11" x14ac:dyDescent="0.25">
      <c r="A905" s="29" t="s">
        <v>382</v>
      </c>
      <c r="B905" s="205" t="s">
        <v>13</v>
      </c>
      <c r="C905" s="77" t="s">
        <v>175</v>
      </c>
      <c r="D905" s="20" t="s">
        <v>14</v>
      </c>
      <c r="E905" s="20">
        <v>2</v>
      </c>
      <c r="F905" s="33">
        <v>0</v>
      </c>
      <c r="G905" s="15"/>
      <c r="H905" s="33">
        <f t="shared" si="74"/>
        <v>0</v>
      </c>
      <c r="I905" s="15"/>
      <c r="J905" s="1"/>
      <c r="K905" s="1">
        <f>0.17*E905</f>
        <v>0.34</v>
      </c>
    </row>
    <row r="906" spans="1:11" x14ac:dyDescent="0.25">
      <c r="A906" s="29" t="s">
        <v>383</v>
      </c>
      <c r="B906" s="205" t="s">
        <v>13</v>
      </c>
      <c r="C906" s="77" t="s">
        <v>636</v>
      </c>
      <c r="D906" s="20" t="s">
        <v>14</v>
      </c>
      <c r="E906" s="20">
        <v>2</v>
      </c>
      <c r="F906" s="33">
        <v>0</v>
      </c>
      <c r="G906" s="15"/>
      <c r="H906" s="33">
        <f t="shared" si="74"/>
        <v>0</v>
      </c>
      <c r="I906" s="15"/>
      <c r="J906" s="1"/>
      <c r="K906" s="1">
        <f>0.44*E906</f>
        <v>0.88</v>
      </c>
    </row>
    <row r="907" spans="1:11" x14ac:dyDescent="0.25">
      <c r="A907" s="29" t="s">
        <v>464</v>
      </c>
      <c r="B907" s="205" t="s">
        <v>13</v>
      </c>
      <c r="C907" s="77" t="s">
        <v>177</v>
      </c>
      <c r="D907" s="20" t="s">
        <v>14</v>
      </c>
      <c r="E907" s="20">
        <v>2</v>
      </c>
      <c r="F907" s="33">
        <v>0</v>
      </c>
      <c r="G907" s="15"/>
      <c r="H907" s="33">
        <f t="shared" si="74"/>
        <v>0</v>
      </c>
      <c r="I907" s="15"/>
      <c r="J907" s="1"/>
      <c r="K907" s="1">
        <f>0.64*E907</f>
        <v>1.28</v>
      </c>
    </row>
    <row r="908" spans="1:11" x14ac:dyDescent="0.25">
      <c r="A908" s="29" t="s">
        <v>466</v>
      </c>
      <c r="B908" s="205" t="s">
        <v>13</v>
      </c>
      <c r="C908" s="77" t="s">
        <v>178</v>
      </c>
      <c r="D908" s="20" t="s">
        <v>14</v>
      </c>
      <c r="E908" s="20">
        <v>6</v>
      </c>
      <c r="F908" s="33">
        <v>0</v>
      </c>
      <c r="G908" s="15"/>
      <c r="H908" s="33">
        <f t="shared" si="74"/>
        <v>0</v>
      </c>
      <c r="I908" s="15"/>
      <c r="J908" s="1"/>
      <c r="K908" s="1">
        <f>0.74*E908</f>
        <v>4.4400000000000004</v>
      </c>
    </row>
    <row r="909" spans="1:11" x14ac:dyDescent="0.25">
      <c r="A909" s="29" t="s">
        <v>770</v>
      </c>
      <c r="B909" s="205" t="s">
        <v>13</v>
      </c>
      <c r="C909" s="180" t="s">
        <v>308</v>
      </c>
      <c r="D909" s="20" t="s">
        <v>14</v>
      </c>
      <c r="E909" s="20">
        <v>1</v>
      </c>
      <c r="F909" s="33">
        <v>0</v>
      </c>
      <c r="G909" s="15"/>
      <c r="H909" s="33">
        <f t="shared" si="74"/>
        <v>0</v>
      </c>
      <c r="I909" s="15"/>
      <c r="J909" s="1"/>
      <c r="K909" s="1">
        <f>0.79*E909</f>
        <v>0.79</v>
      </c>
    </row>
    <row r="910" spans="1:11" x14ac:dyDescent="0.25">
      <c r="A910" s="29" t="s">
        <v>771</v>
      </c>
      <c r="B910" s="205" t="s">
        <v>13</v>
      </c>
      <c r="C910" s="180" t="s">
        <v>179</v>
      </c>
      <c r="D910" s="20" t="s">
        <v>14</v>
      </c>
      <c r="E910" s="20">
        <v>1</v>
      </c>
      <c r="F910" s="33">
        <v>0</v>
      </c>
      <c r="G910" s="15"/>
      <c r="H910" s="33">
        <f t="shared" si="74"/>
        <v>0</v>
      </c>
      <c r="I910" s="15"/>
      <c r="J910" s="1"/>
      <c r="K910" s="1">
        <f>1.03*E910</f>
        <v>1.03</v>
      </c>
    </row>
    <row r="911" spans="1:11" ht="42.75" x14ac:dyDescent="0.25">
      <c r="A911" s="26" t="s">
        <v>29</v>
      </c>
      <c r="B911" s="228" t="s">
        <v>9</v>
      </c>
      <c r="C911" s="178" t="s">
        <v>180</v>
      </c>
      <c r="D911" s="19" t="s">
        <v>54</v>
      </c>
      <c r="E911" s="19">
        <v>8.84</v>
      </c>
      <c r="F911" s="28"/>
      <c r="G911" s="58">
        <v>0</v>
      </c>
      <c r="H911" s="28"/>
      <c r="I911" s="58">
        <f>E911*G911</f>
        <v>0</v>
      </c>
      <c r="J911" s="1"/>
      <c r="K911" s="1">
        <f>K913+K914+K915+K916</f>
        <v>8.84</v>
      </c>
    </row>
    <row r="912" spans="1:11" x14ac:dyDescent="0.25">
      <c r="A912" s="29" t="s">
        <v>31</v>
      </c>
      <c r="B912" s="240" t="s">
        <v>13</v>
      </c>
      <c r="C912" s="77" t="s">
        <v>55</v>
      </c>
      <c r="D912" s="20" t="s">
        <v>38</v>
      </c>
      <c r="E912" s="76">
        <f>2.25*E911</f>
        <v>19.89</v>
      </c>
      <c r="F912" s="33">
        <v>0</v>
      </c>
      <c r="G912" s="15"/>
      <c r="H912" s="33">
        <f>F912*E912</f>
        <v>0</v>
      </c>
      <c r="I912" s="15"/>
      <c r="J912" s="1"/>
      <c r="K912" s="1"/>
    </row>
    <row r="913" spans="1:11" x14ac:dyDescent="0.25">
      <c r="A913" s="29" t="s">
        <v>63</v>
      </c>
      <c r="B913" s="205" t="s">
        <v>13</v>
      </c>
      <c r="C913" s="77" t="s">
        <v>182</v>
      </c>
      <c r="D913" s="20" t="s">
        <v>58</v>
      </c>
      <c r="E913" s="20">
        <v>2.5</v>
      </c>
      <c r="F913" s="33">
        <v>0</v>
      </c>
      <c r="G913" s="15"/>
      <c r="H913" s="33">
        <f t="shared" ref="H913:H916" si="75">F913*E913</f>
        <v>0</v>
      </c>
      <c r="I913" s="15"/>
      <c r="J913" s="1"/>
      <c r="K913" s="1">
        <f>2*E913</f>
        <v>5</v>
      </c>
    </row>
    <row r="914" spans="1:11" ht="30" x14ac:dyDescent="0.25">
      <c r="A914" s="29" t="s">
        <v>64</v>
      </c>
      <c r="B914" s="205" t="s">
        <v>13</v>
      </c>
      <c r="C914" s="77" t="s">
        <v>637</v>
      </c>
      <c r="D914" s="20" t="s">
        <v>58</v>
      </c>
      <c r="E914" s="20">
        <v>1.3</v>
      </c>
      <c r="F914" s="33">
        <v>0</v>
      </c>
      <c r="G914" s="15"/>
      <c r="H914" s="33">
        <f t="shared" si="75"/>
        <v>0</v>
      </c>
      <c r="I914" s="15"/>
      <c r="J914" s="1"/>
      <c r="K914" s="1">
        <f>2.2*E914</f>
        <v>2.86</v>
      </c>
    </row>
    <row r="915" spans="1:11" x14ac:dyDescent="0.25">
      <c r="A915" s="29" t="s">
        <v>65</v>
      </c>
      <c r="B915" s="205" t="s">
        <v>13</v>
      </c>
      <c r="C915" s="77" t="s">
        <v>638</v>
      </c>
      <c r="D915" s="20" t="s">
        <v>14</v>
      </c>
      <c r="E915" s="175">
        <v>1</v>
      </c>
      <c r="F915" s="33">
        <v>0</v>
      </c>
      <c r="G915" s="15"/>
      <c r="H915" s="33">
        <f t="shared" si="75"/>
        <v>0</v>
      </c>
      <c r="I915" s="15"/>
      <c r="J915" s="1"/>
      <c r="K915" s="1">
        <f>0.31*E915</f>
        <v>0.31</v>
      </c>
    </row>
    <row r="916" spans="1:11" x14ac:dyDescent="0.25">
      <c r="A916" s="29" t="s">
        <v>66</v>
      </c>
      <c r="B916" s="205" t="s">
        <v>13</v>
      </c>
      <c r="C916" s="77" t="s">
        <v>639</v>
      </c>
      <c r="D916" s="20" t="s">
        <v>14</v>
      </c>
      <c r="E916" s="20">
        <v>1</v>
      </c>
      <c r="F916" s="33">
        <v>0</v>
      </c>
      <c r="G916" s="15"/>
      <c r="H916" s="33">
        <f t="shared" si="75"/>
        <v>0</v>
      </c>
      <c r="I916" s="15"/>
      <c r="J916" s="1"/>
      <c r="K916" s="1">
        <f>0.67*E916</f>
        <v>0.67</v>
      </c>
    </row>
    <row r="917" spans="1:11" ht="42.75" x14ac:dyDescent="0.25">
      <c r="A917" s="26" t="s">
        <v>32</v>
      </c>
      <c r="B917" s="228" t="s">
        <v>9</v>
      </c>
      <c r="C917" s="17" t="s">
        <v>183</v>
      </c>
      <c r="D917" s="19" t="s">
        <v>54</v>
      </c>
      <c r="E917" s="19">
        <v>19.3</v>
      </c>
      <c r="F917" s="33"/>
      <c r="G917" s="58">
        <v>0</v>
      </c>
      <c r="H917" s="33"/>
      <c r="I917" s="58">
        <f>E917*G917</f>
        <v>0</v>
      </c>
      <c r="J917" s="1"/>
      <c r="K917" s="1">
        <f>K919+K920+K921+K922+K923+K924+K925</f>
        <v>19.3</v>
      </c>
    </row>
    <row r="918" spans="1:11" x14ac:dyDescent="0.25">
      <c r="A918" s="29" t="s">
        <v>33</v>
      </c>
      <c r="B918" s="205" t="s">
        <v>13</v>
      </c>
      <c r="C918" s="11" t="s">
        <v>55</v>
      </c>
      <c r="D918" s="20" t="s">
        <v>38</v>
      </c>
      <c r="E918" s="76">
        <f>2.25*E917</f>
        <v>43.43</v>
      </c>
      <c r="F918" s="33">
        <v>0</v>
      </c>
      <c r="G918" s="15"/>
      <c r="H918" s="33">
        <f t="shared" ref="H918:H925" si="76">E918*F918</f>
        <v>0</v>
      </c>
      <c r="I918" s="15"/>
      <c r="J918" s="1"/>
      <c r="K918" s="1"/>
    </row>
    <row r="919" spans="1:11" ht="30" x14ac:dyDescent="0.25">
      <c r="A919" s="29" t="s">
        <v>34</v>
      </c>
      <c r="B919" s="205" t="s">
        <v>13</v>
      </c>
      <c r="C919" s="11" t="s">
        <v>591</v>
      </c>
      <c r="D919" s="20" t="s">
        <v>14</v>
      </c>
      <c r="E919" s="20">
        <v>1</v>
      </c>
      <c r="F919" s="33">
        <v>0</v>
      </c>
      <c r="G919" s="15"/>
      <c r="H919" s="33">
        <f t="shared" si="76"/>
        <v>0</v>
      </c>
      <c r="I919" s="15"/>
      <c r="J919" s="1"/>
      <c r="K919" s="1">
        <f>0.91*E919</f>
        <v>0.91</v>
      </c>
    </row>
    <row r="920" spans="1:11" x14ac:dyDescent="0.25">
      <c r="A920" s="29" t="s">
        <v>35</v>
      </c>
      <c r="B920" s="205" t="s">
        <v>13</v>
      </c>
      <c r="C920" s="11" t="s">
        <v>608</v>
      </c>
      <c r="D920" s="20" t="s">
        <v>14</v>
      </c>
      <c r="E920" s="20">
        <v>1</v>
      </c>
      <c r="F920" s="33">
        <v>0</v>
      </c>
      <c r="G920" s="15"/>
      <c r="H920" s="33">
        <f t="shared" si="76"/>
        <v>0</v>
      </c>
      <c r="I920" s="15"/>
      <c r="J920" s="1"/>
      <c r="K920" s="1">
        <f>1.26*E920</f>
        <v>1.26</v>
      </c>
    </row>
    <row r="921" spans="1:11" ht="30" x14ac:dyDescent="0.25">
      <c r="A921" s="29" t="s">
        <v>151</v>
      </c>
      <c r="B921" s="205" t="s">
        <v>13</v>
      </c>
      <c r="C921" s="11" t="s">
        <v>590</v>
      </c>
      <c r="D921" s="20" t="s">
        <v>58</v>
      </c>
      <c r="E921" s="20">
        <v>4</v>
      </c>
      <c r="F921" s="33">
        <v>0</v>
      </c>
      <c r="G921" s="15"/>
      <c r="H921" s="33">
        <f t="shared" si="76"/>
        <v>0</v>
      </c>
      <c r="I921" s="15"/>
      <c r="J921" s="1"/>
      <c r="K921" s="1">
        <f>2.6*E921</f>
        <v>10.4</v>
      </c>
    </row>
    <row r="922" spans="1:11" ht="30" x14ac:dyDescent="0.25">
      <c r="A922" s="29" t="s">
        <v>152</v>
      </c>
      <c r="B922" s="205" t="s">
        <v>13</v>
      </c>
      <c r="C922" s="11" t="s">
        <v>185</v>
      </c>
      <c r="D922" s="20" t="s">
        <v>58</v>
      </c>
      <c r="E922" s="20">
        <v>1.2</v>
      </c>
      <c r="F922" s="33">
        <v>0</v>
      </c>
      <c r="G922" s="15"/>
      <c r="H922" s="33">
        <f t="shared" si="76"/>
        <v>0</v>
      </c>
      <c r="I922" s="15"/>
      <c r="J922" s="1"/>
      <c r="K922" s="1">
        <f>2.8*E922</f>
        <v>3.36</v>
      </c>
    </row>
    <row r="923" spans="1:11" x14ac:dyDescent="0.25">
      <c r="A923" s="29" t="s">
        <v>429</v>
      </c>
      <c r="B923" s="205" t="s">
        <v>13</v>
      </c>
      <c r="C923" s="11" t="s">
        <v>609</v>
      </c>
      <c r="D923" s="20" t="s">
        <v>14</v>
      </c>
      <c r="E923" s="20">
        <v>1</v>
      </c>
      <c r="F923" s="33">
        <v>0</v>
      </c>
      <c r="G923" s="15"/>
      <c r="H923" s="33">
        <f t="shared" si="76"/>
        <v>0</v>
      </c>
      <c r="I923" s="15"/>
      <c r="J923" s="1"/>
      <c r="K923" s="1">
        <f>1.05*E923</f>
        <v>1.05</v>
      </c>
    </row>
    <row r="924" spans="1:11" x14ac:dyDescent="0.25">
      <c r="A924" s="29" t="s">
        <v>839</v>
      </c>
      <c r="B924" s="205" t="s">
        <v>13</v>
      </c>
      <c r="C924" s="11" t="s">
        <v>640</v>
      </c>
      <c r="D924" s="20" t="s">
        <v>14</v>
      </c>
      <c r="E924" s="20">
        <v>1</v>
      </c>
      <c r="F924" s="33">
        <v>0</v>
      </c>
      <c r="G924" s="15"/>
      <c r="H924" s="33">
        <f t="shared" si="76"/>
        <v>0</v>
      </c>
      <c r="I924" s="15"/>
      <c r="J924" s="1"/>
      <c r="K924" s="1">
        <f>1.1*E924</f>
        <v>1.1000000000000001</v>
      </c>
    </row>
    <row r="925" spans="1:11" x14ac:dyDescent="0.25">
      <c r="A925" s="29" t="s">
        <v>840</v>
      </c>
      <c r="B925" s="205" t="s">
        <v>13</v>
      </c>
      <c r="C925" s="11" t="s">
        <v>641</v>
      </c>
      <c r="D925" s="20" t="s">
        <v>14</v>
      </c>
      <c r="E925" s="20">
        <v>1</v>
      </c>
      <c r="F925" s="33">
        <v>0</v>
      </c>
      <c r="G925" s="15"/>
      <c r="H925" s="33">
        <f t="shared" si="76"/>
        <v>0</v>
      </c>
      <c r="I925" s="15"/>
      <c r="J925" s="1"/>
      <c r="K925" s="1">
        <f>1.22*E925</f>
        <v>1.22</v>
      </c>
    </row>
    <row r="926" spans="1:11" ht="42.75" x14ac:dyDescent="0.25">
      <c r="A926" s="26" t="s">
        <v>36</v>
      </c>
      <c r="B926" s="228" t="s">
        <v>9</v>
      </c>
      <c r="C926" s="17" t="s">
        <v>594</v>
      </c>
      <c r="D926" s="19" t="s">
        <v>54</v>
      </c>
      <c r="E926" s="19">
        <v>14.57</v>
      </c>
      <c r="F926" s="33"/>
      <c r="G926" s="58">
        <v>0</v>
      </c>
      <c r="H926" s="33"/>
      <c r="I926" s="58">
        <f>E926*G926</f>
        <v>0</v>
      </c>
      <c r="J926" s="1"/>
      <c r="K926" s="1">
        <f>K928+K929+K930+K931+K932</f>
        <v>14.57</v>
      </c>
    </row>
    <row r="927" spans="1:11" x14ac:dyDescent="0.25">
      <c r="A927" s="29" t="s">
        <v>37</v>
      </c>
      <c r="B927" s="205" t="s">
        <v>13</v>
      </c>
      <c r="C927" s="11" t="s">
        <v>55</v>
      </c>
      <c r="D927" s="20" t="s">
        <v>38</v>
      </c>
      <c r="E927" s="76">
        <f>2.25*E926</f>
        <v>32.78</v>
      </c>
      <c r="F927" s="33">
        <v>0</v>
      </c>
      <c r="G927" s="15"/>
      <c r="H927" s="33">
        <f t="shared" ref="H927:H932" si="77">E927*F927</f>
        <v>0</v>
      </c>
      <c r="I927" s="15"/>
      <c r="J927" s="1"/>
      <c r="K927" s="1"/>
    </row>
    <row r="928" spans="1:11" ht="30" x14ac:dyDescent="0.25">
      <c r="A928" s="29" t="s">
        <v>233</v>
      </c>
      <c r="B928" s="205" t="s">
        <v>13</v>
      </c>
      <c r="C928" s="11" t="s">
        <v>595</v>
      </c>
      <c r="D928" s="20" t="s">
        <v>58</v>
      </c>
      <c r="E928" s="76">
        <v>0.7</v>
      </c>
      <c r="F928" s="33">
        <v>0</v>
      </c>
      <c r="G928" s="15"/>
      <c r="H928" s="33">
        <f t="shared" si="77"/>
        <v>0</v>
      </c>
      <c r="I928" s="15"/>
      <c r="J928" s="1"/>
      <c r="K928" s="1">
        <f>3.6*E928</f>
        <v>2.52</v>
      </c>
    </row>
    <row r="929" spans="1:11" ht="30" x14ac:dyDescent="0.25">
      <c r="A929" s="29" t="s">
        <v>239</v>
      </c>
      <c r="B929" s="205" t="s">
        <v>13</v>
      </c>
      <c r="C929" s="11" t="s">
        <v>596</v>
      </c>
      <c r="D929" s="20" t="s">
        <v>58</v>
      </c>
      <c r="E929" s="20">
        <v>1.9</v>
      </c>
      <c r="F929" s="33">
        <v>0</v>
      </c>
      <c r="G929" s="15"/>
      <c r="H929" s="33">
        <f t="shared" si="77"/>
        <v>0</v>
      </c>
      <c r="I929" s="15"/>
      <c r="J929" s="1"/>
      <c r="K929" s="1">
        <f>E929*3.6</f>
        <v>6.84</v>
      </c>
    </row>
    <row r="930" spans="1:11" ht="30" x14ac:dyDescent="0.25">
      <c r="A930" s="29" t="s">
        <v>497</v>
      </c>
      <c r="B930" s="205" t="s">
        <v>13</v>
      </c>
      <c r="C930" s="11" t="s">
        <v>598</v>
      </c>
      <c r="D930" s="20" t="s">
        <v>14</v>
      </c>
      <c r="E930" s="20">
        <v>1</v>
      </c>
      <c r="F930" s="33">
        <v>0</v>
      </c>
      <c r="G930" s="15"/>
      <c r="H930" s="33">
        <f t="shared" si="77"/>
        <v>0</v>
      </c>
      <c r="I930" s="15"/>
      <c r="J930" s="1"/>
      <c r="K930" s="1">
        <f>0.9*E930</f>
        <v>0.9</v>
      </c>
    </row>
    <row r="931" spans="1:11" x14ac:dyDescent="0.25">
      <c r="A931" s="29" t="s">
        <v>498</v>
      </c>
      <c r="B931" s="205" t="s">
        <v>13</v>
      </c>
      <c r="C931" s="11" t="s">
        <v>599</v>
      </c>
      <c r="D931" s="20" t="s">
        <v>14</v>
      </c>
      <c r="E931" s="20">
        <v>1</v>
      </c>
      <c r="F931" s="33">
        <v>0</v>
      </c>
      <c r="G931" s="15"/>
      <c r="H931" s="33">
        <f t="shared" si="77"/>
        <v>0</v>
      </c>
      <c r="I931" s="15"/>
      <c r="J931" s="1"/>
      <c r="K931" s="1">
        <f>3.33*E931</f>
        <v>3.33</v>
      </c>
    </row>
    <row r="932" spans="1:11" x14ac:dyDescent="0.25">
      <c r="A932" s="29" t="s">
        <v>499</v>
      </c>
      <c r="B932" s="205" t="s">
        <v>13</v>
      </c>
      <c r="C932" s="77" t="s">
        <v>597</v>
      </c>
      <c r="D932" s="20" t="s">
        <v>14</v>
      </c>
      <c r="E932" s="20">
        <v>1</v>
      </c>
      <c r="F932" s="33">
        <v>0</v>
      </c>
      <c r="G932" s="15"/>
      <c r="H932" s="33">
        <f t="shared" si="77"/>
        <v>0</v>
      </c>
      <c r="I932" s="15"/>
      <c r="J932" s="1"/>
      <c r="K932" s="1">
        <f>0.98*E932</f>
        <v>0.98</v>
      </c>
    </row>
    <row r="933" spans="1:11" ht="28.5" x14ac:dyDescent="0.25">
      <c r="A933" s="26" t="s">
        <v>39</v>
      </c>
      <c r="B933" s="228" t="s">
        <v>189</v>
      </c>
      <c r="C933" s="17" t="s">
        <v>48</v>
      </c>
      <c r="D933" s="19" t="s">
        <v>14</v>
      </c>
      <c r="E933" s="19">
        <v>9</v>
      </c>
      <c r="F933" s="28"/>
      <c r="G933" s="58">
        <v>0</v>
      </c>
      <c r="H933" s="28"/>
      <c r="I933" s="58">
        <f>E933*G933</f>
        <v>0</v>
      </c>
      <c r="J933" s="1"/>
      <c r="K933" s="1"/>
    </row>
    <row r="934" spans="1:11" ht="30" x14ac:dyDescent="0.25">
      <c r="A934" s="29" t="s">
        <v>40</v>
      </c>
      <c r="B934" s="205" t="s">
        <v>13</v>
      </c>
      <c r="C934" s="11" t="s">
        <v>186</v>
      </c>
      <c r="D934" s="20" t="s">
        <v>14</v>
      </c>
      <c r="E934" s="175">
        <v>2</v>
      </c>
      <c r="F934" s="33">
        <v>0</v>
      </c>
      <c r="G934" s="15"/>
      <c r="H934" s="33">
        <f>E934*F934</f>
        <v>0</v>
      </c>
      <c r="I934" s="15"/>
      <c r="J934" s="1"/>
      <c r="K934" s="1"/>
    </row>
    <row r="935" spans="1:11" ht="30" x14ac:dyDescent="0.25">
      <c r="A935" s="29" t="s">
        <v>41</v>
      </c>
      <c r="B935" s="205" t="s">
        <v>13</v>
      </c>
      <c r="C935" s="55" t="s">
        <v>188</v>
      </c>
      <c r="D935" s="94" t="s">
        <v>14</v>
      </c>
      <c r="E935" s="288">
        <v>5</v>
      </c>
      <c r="F935" s="186">
        <v>0</v>
      </c>
      <c r="G935" s="127"/>
      <c r="H935" s="186">
        <f>E935*F935</f>
        <v>0</v>
      </c>
      <c r="I935" s="127"/>
      <c r="J935" s="1"/>
      <c r="K935" s="1"/>
    </row>
    <row r="936" spans="1:11" ht="30" x14ac:dyDescent="0.25">
      <c r="A936" s="29" t="s">
        <v>500</v>
      </c>
      <c r="B936" s="205" t="s">
        <v>13</v>
      </c>
      <c r="C936" s="55" t="s">
        <v>187</v>
      </c>
      <c r="D936" s="94" t="s">
        <v>14</v>
      </c>
      <c r="E936" s="288">
        <v>2</v>
      </c>
      <c r="F936" s="186">
        <v>0</v>
      </c>
      <c r="G936" s="127"/>
      <c r="H936" s="186">
        <f>E936*F936</f>
        <v>0</v>
      </c>
      <c r="I936" s="127"/>
      <c r="J936" s="1"/>
      <c r="K936" s="1"/>
    </row>
    <row r="937" spans="1:11" ht="28.5" x14ac:dyDescent="0.25">
      <c r="A937" s="26" t="s">
        <v>242</v>
      </c>
      <c r="B937" s="239" t="s">
        <v>9</v>
      </c>
      <c r="C937" s="17" t="s">
        <v>137</v>
      </c>
      <c r="D937" s="19" t="s">
        <v>14</v>
      </c>
      <c r="E937" s="19">
        <v>127</v>
      </c>
      <c r="F937" s="28"/>
      <c r="G937" s="58">
        <v>0</v>
      </c>
      <c r="H937" s="28"/>
      <c r="I937" s="58">
        <f>E937*G937</f>
        <v>0</v>
      </c>
      <c r="J937" s="1"/>
      <c r="K937" s="1"/>
    </row>
    <row r="938" spans="1:11" x14ac:dyDescent="0.25">
      <c r="A938" s="29" t="s">
        <v>42</v>
      </c>
      <c r="B938" s="205" t="s">
        <v>13</v>
      </c>
      <c r="C938" s="11" t="s">
        <v>191</v>
      </c>
      <c r="D938" s="20" t="s">
        <v>14</v>
      </c>
      <c r="E938" s="20">
        <v>127</v>
      </c>
      <c r="F938" s="33">
        <v>0</v>
      </c>
      <c r="G938" s="58"/>
      <c r="H938" s="186">
        <f t="shared" ref="H938" si="78">E938*F938</f>
        <v>0</v>
      </c>
      <c r="I938" s="58"/>
      <c r="J938" s="1"/>
      <c r="K938" s="1"/>
    </row>
    <row r="939" spans="1:11" ht="28.5" x14ac:dyDescent="0.25">
      <c r="A939" s="26" t="s">
        <v>69</v>
      </c>
      <c r="B939" s="239" t="s">
        <v>9</v>
      </c>
      <c r="C939" s="17" t="s">
        <v>502</v>
      </c>
      <c r="D939" s="19" t="s">
        <v>14</v>
      </c>
      <c r="E939" s="19">
        <v>127</v>
      </c>
      <c r="F939" s="28"/>
      <c r="G939" s="58">
        <v>0</v>
      </c>
      <c r="H939" s="28"/>
      <c r="I939" s="58">
        <f>E939*G939</f>
        <v>0</v>
      </c>
      <c r="J939" s="1"/>
      <c r="K939" s="1"/>
    </row>
    <row r="940" spans="1:11" x14ac:dyDescent="0.25">
      <c r="A940" s="129" t="s">
        <v>70</v>
      </c>
      <c r="B940" s="205" t="s">
        <v>13</v>
      </c>
      <c r="C940" s="11" t="s">
        <v>190</v>
      </c>
      <c r="D940" s="20" t="s">
        <v>14</v>
      </c>
      <c r="E940" s="20">
        <v>127</v>
      </c>
      <c r="F940" s="33">
        <v>0</v>
      </c>
      <c r="G940" s="15"/>
      <c r="H940" s="186">
        <f t="shared" ref="H940" si="79">E940*F940</f>
        <v>0</v>
      </c>
      <c r="I940" s="15"/>
      <c r="J940" s="1"/>
      <c r="K940" s="1"/>
    </row>
    <row r="941" spans="1:11" ht="28.5" x14ac:dyDescent="0.25">
      <c r="A941" s="251">
        <v>12</v>
      </c>
      <c r="B941" s="239" t="s">
        <v>9</v>
      </c>
      <c r="C941" s="17" t="s">
        <v>615</v>
      </c>
      <c r="D941" s="19" t="s">
        <v>14</v>
      </c>
      <c r="E941" s="19">
        <v>1</v>
      </c>
      <c r="F941" s="28"/>
      <c r="G941" s="58">
        <v>0</v>
      </c>
      <c r="H941" s="28"/>
      <c r="I941" s="58">
        <f>E941*G941</f>
        <v>0</v>
      </c>
      <c r="J941" s="1"/>
      <c r="K941" s="1"/>
    </row>
    <row r="942" spans="1:11" x14ac:dyDescent="0.25">
      <c r="A942" s="29" t="s">
        <v>73</v>
      </c>
      <c r="B942" s="205" t="s">
        <v>13</v>
      </c>
      <c r="C942" s="11" t="s">
        <v>522</v>
      </c>
      <c r="D942" s="20" t="s">
        <v>14</v>
      </c>
      <c r="E942" s="20">
        <v>1</v>
      </c>
      <c r="F942" s="113">
        <v>0</v>
      </c>
      <c r="G942" s="15"/>
      <c r="H942" s="33">
        <f>E942*F942</f>
        <v>0</v>
      </c>
      <c r="I942" s="15"/>
      <c r="J942" s="1"/>
      <c r="K942" s="1"/>
    </row>
    <row r="943" spans="1:11" ht="28.5" x14ac:dyDescent="0.25">
      <c r="A943" s="173" t="s">
        <v>830</v>
      </c>
      <c r="B943" s="252" t="s">
        <v>9</v>
      </c>
      <c r="C943" s="17" t="s">
        <v>803</v>
      </c>
      <c r="D943" s="19" t="s">
        <v>472</v>
      </c>
      <c r="E943" s="19">
        <v>5</v>
      </c>
      <c r="F943" s="103"/>
      <c r="G943" s="58">
        <v>0</v>
      </c>
      <c r="H943" s="28"/>
      <c r="I943" s="58">
        <f>E943*G943</f>
        <v>0</v>
      </c>
      <c r="J943" s="1"/>
      <c r="K943" s="1"/>
    </row>
    <row r="944" spans="1:11" ht="28.5" x14ac:dyDescent="0.25">
      <c r="A944" s="173" t="s">
        <v>76</v>
      </c>
      <c r="B944" s="234" t="s">
        <v>9</v>
      </c>
      <c r="C944" s="17" t="s">
        <v>211</v>
      </c>
      <c r="D944" s="19" t="s">
        <v>54</v>
      </c>
      <c r="E944" s="18">
        <v>864.1</v>
      </c>
      <c r="F944" s="150"/>
      <c r="G944" s="146">
        <v>0</v>
      </c>
      <c r="H944" s="103"/>
      <c r="I944" s="58">
        <f>E944*G944</f>
        <v>0</v>
      </c>
      <c r="J944" s="1"/>
      <c r="K944" s="1"/>
    </row>
    <row r="945" spans="1:11" x14ac:dyDescent="0.25">
      <c r="A945" s="29" t="s">
        <v>77</v>
      </c>
      <c r="B945" s="220" t="s">
        <v>13</v>
      </c>
      <c r="C945" s="188" t="s">
        <v>209</v>
      </c>
      <c r="D945" s="90" t="s">
        <v>54</v>
      </c>
      <c r="E945" s="12">
        <f>1.1*E944</f>
        <v>950.51</v>
      </c>
      <c r="F945" s="33">
        <v>0</v>
      </c>
      <c r="G945" s="102"/>
      <c r="H945" s="113">
        <f>E945*F945</f>
        <v>0</v>
      </c>
      <c r="I945" s="15"/>
      <c r="J945" s="1"/>
      <c r="K945" s="1"/>
    </row>
    <row r="946" spans="1:11" x14ac:dyDescent="0.25">
      <c r="A946" s="29" t="s">
        <v>387</v>
      </c>
      <c r="B946" s="220" t="s">
        <v>13</v>
      </c>
      <c r="C946" s="11" t="s">
        <v>266</v>
      </c>
      <c r="D946" s="20" t="s">
        <v>38</v>
      </c>
      <c r="E946" s="12">
        <f>0.7*E944</f>
        <v>604.87</v>
      </c>
      <c r="F946" s="33">
        <v>0</v>
      </c>
      <c r="G946" s="102"/>
      <c r="H946" s="113">
        <f>E946*F946</f>
        <v>0</v>
      </c>
      <c r="I946" s="15"/>
      <c r="J946" s="1"/>
      <c r="K946" s="1"/>
    </row>
    <row r="947" spans="1:11" x14ac:dyDescent="0.25">
      <c r="A947" s="173" t="s">
        <v>78</v>
      </c>
      <c r="B947" s="252" t="s">
        <v>9</v>
      </c>
      <c r="C947" s="250" t="s">
        <v>202</v>
      </c>
      <c r="D947" s="88" t="s">
        <v>54</v>
      </c>
      <c r="E947" s="88">
        <v>7.6</v>
      </c>
      <c r="F947" s="150"/>
      <c r="G947" s="65">
        <v>0</v>
      </c>
      <c r="H947" s="150"/>
      <c r="I947" s="65">
        <f>E947*G947</f>
        <v>0</v>
      </c>
      <c r="J947" s="1"/>
      <c r="K947" s="1"/>
    </row>
    <row r="948" spans="1:11" x14ac:dyDescent="0.25">
      <c r="A948" s="130" t="s">
        <v>79</v>
      </c>
      <c r="B948" s="206" t="s">
        <v>13</v>
      </c>
      <c r="C948" s="188" t="s">
        <v>203</v>
      </c>
      <c r="D948" s="90" t="s">
        <v>54</v>
      </c>
      <c r="E948" s="90">
        <v>7.6</v>
      </c>
      <c r="F948" s="62">
        <v>0</v>
      </c>
      <c r="G948" s="119"/>
      <c r="H948" s="62">
        <f>E948*F948</f>
        <v>0</v>
      </c>
      <c r="I948" s="119"/>
      <c r="J948" s="1"/>
      <c r="K948" s="1"/>
    </row>
    <row r="949" spans="1:11" ht="30.75" thickBot="1" x14ac:dyDescent="0.3">
      <c r="A949" s="129" t="s">
        <v>392</v>
      </c>
      <c r="B949" s="240" t="s">
        <v>13</v>
      </c>
      <c r="C949" s="55" t="s">
        <v>204</v>
      </c>
      <c r="D949" s="94" t="s">
        <v>54</v>
      </c>
      <c r="E949" s="94">
        <v>7.6</v>
      </c>
      <c r="F949" s="186">
        <v>0</v>
      </c>
      <c r="G949" s="127"/>
      <c r="H949" s="186">
        <f>E949*F949</f>
        <v>0</v>
      </c>
      <c r="I949" s="127"/>
      <c r="J949" s="1"/>
      <c r="K949" s="1"/>
    </row>
    <row r="950" spans="1:11" ht="15.75" thickBot="1" x14ac:dyDescent="0.3">
      <c r="A950" s="46"/>
      <c r="B950" s="207"/>
      <c r="C950" s="268" t="s">
        <v>417</v>
      </c>
      <c r="D950" s="3"/>
      <c r="E950" s="3"/>
      <c r="F950" s="99"/>
      <c r="G950" s="86"/>
      <c r="H950" s="99">
        <f>SUM(H874:H949)</f>
        <v>0</v>
      </c>
      <c r="I950" s="86">
        <f>SUM(I873:I949)</f>
        <v>0</v>
      </c>
      <c r="J950" s="1"/>
      <c r="K950" s="1"/>
    </row>
    <row r="951" spans="1:11" ht="15.75" thickBot="1" x14ac:dyDescent="0.3">
      <c r="A951" s="83"/>
      <c r="B951" s="241"/>
      <c r="C951" s="98" t="s">
        <v>642</v>
      </c>
      <c r="D951" s="48"/>
      <c r="E951" s="48"/>
      <c r="F951" s="132"/>
      <c r="G951" s="52"/>
      <c r="H951" s="132"/>
      <c r="I951" s="52"/>
      <c r="J951" s="1"/>
      <c r="K951" s="1"/>
    </row>
    <row r="952" spans="1:11" ht="42.75" x14ac:dyDescent="0.25">
      <c r="A952" s="67" t="s">
        <v>80</v>
      </c>
      <c r="B952" s="204" t="s">
        <v>9</v>
      </c>
      <c r="C952" s="177" t="s">
        <v>53</v>
      </c>
      <c r="D952" s="69" t="s">
        <v>54</v>
      </c>
      <c r="E952" s="69">
        <v>97.34</v>
      </c>
      <c r="F952" s="6"/>
      <c r="G952" s="42">
        <v>0</v>
      </c>
      <c r="H952" s="96"/>
      <c r="I952" s="42">
        <f>E952*G952</f>
        <v>0</v>
      </c>
      <c r="J952" s="1"/>
      <c r="K952" s="1">
        <f>K954+K955+K956+K957</f>
        <v>97.34</v>
      </c>
    </row>
    <row r="953" spans="1:11" x14ac:dyDescent="0.25">
      <c r="A953" s="29" t="s">
        <v>81</v>
      </c>
      <c r="B953" s="205" t="s">
        <v>13</v>
      </c>
      <c r="C953" s="73" t="s">
        <v>55</v>
      </c>
      <c r="D953" s="71" t="s">
        <v>38</v>
      </c>
      <c r="E953" s="72">
        <f>0.606*E952</f>
        <v>58.99</v>
      </c>
      <c r="F953" s="113">
        <v>0</v>
      </c>
      <c r="G953" s="15"/>
      <c r="H953" s="33">
        <f>E953*F953</f>
        <v>0</v>
      </c>
      <c r="I953" s="15"/>
      <c r="J953" s="1"/>
      <c r="K953" s="1"/>
    </row>
    <row r="954" spans="1:11" x14ac:dyDescent="0.25">
      <c r="A954" s="29" t="s">
        <v>82</v>
      </c>
      <c r="B954" s="205" t="s">
        <v>13</v>
      </c>
      <c r="C954" s="73" t="s">
        <v>56</v>
      </c>
      <c r="D954" s="71" t="s">
        <v>58</v>
      </c>
      <c r="E954" s="71">
        <v>165.5</v>
      </c>
      <c r="F954" s="113">
        <v>0</v>
      </c>
      <c r="G954" s="15"/>
      <c r="H954" s="33">
        <f>E954*F954</f>
        <v>0</v>
      </c>
      <c r="I954" s="15"/>
      <c r="J954" s="1"/>
      <c r="K954" s="1">
        <v>51.99</v>
      </c>
    </row>
    <row r="955" spans="1:11" ht="30" x14ac:dyDescent="0.25">
      <c r="A955" s="29" t="s">
        <v>83</v>
      </c>
      <c r="B955" s="205" t="s">
        <v>13</v>
      </c>
      <c r="C955" s="366" t="s">
        <v>172</v>
      </c>
      <c r="D955" s="71" t="s">
        <v>14</v>
      </c>
      <c r="E955" s="71">
        <v>143</v>
      </c>
      <c r="F955" s="113">
        <v>0</v>
      </c>
      <c r="G955" s="15"/>
      <c r="H955" s="33">
        <f t="shared" ref="H955:H956" si="80">E955*F955</f>
        <v>0</v>
      </c>
      <c r="I955" s="15"/>
      <c r="J955" s="1"/>
      <c r="K955" s="1">
        <f>0.05*E955</f>
        <v>7.15</v>
      </c>
    </row>
    <row r="956" spans="1:11" ht="30" x14ac:dyDescent="0.25">
      <c r="A956" s="29" t="s">
        <v>84</v>
      </c>
      <c r="B956" s="205" t="s">
        <v>13</v>
      </c>
      <c r="C956" s="366" t="s">
        <v>173</v>
      </c>
      <c r="D956" s="71" t="s">
        <v>14</v>
      </c>
      <c r="E956" s="71">
        <v>125</v>
      </c>
      <c r="F956" s="113">
        <v>0</v>
      </c>
      <c r="G956" s="15"/>
      <c r="H956" s="33">
        <f t="shared" si="80"/>
        <v>0</v>
      </c>
      <c r="I956" s="15"/>
      <c r="J956" s="1"/>
      <c r="K956" s="1">
        <f>0.06*E956</f>
        <v>7.5</v>
      </c>
    </row>
    <row r="957" spans="1:11" x14ac:dyDescent="0.25">
      <c r="A957" s="29" t="s">
        <v>85</v>
      </c>
      <c r="B957" s="205" t="s">
        <v>13</v>
      </c>
      <c r="C957" s="366" t="s">
        <v>442</v>
      </c>
      <c r="D957" s="71" t="s">
        <v>14</v>
      </c>
      <c r="E957" s="71">
        <v>307</v>
      </c>
      <c r="F957" s="113">
        <v>0</v>
      </c>
      <c r="G957" s="15"/>
      <c r="H957" s="33">
        <f>E957*F957</f>
        <v>0</v>
      </c>
      <c r="I957" s="15"/>
      <c r="J957" s="1"/>
      <c r="K957" s="1">
        <f>0.1*E957</f>
        <v>30.7</v>
      </c>
    </row>
    <row r="958" spans="1:11" ht="42.75" x14ac:dyDescent="0.25">
      <c r="A958" s="315" t="s">
        <v>86</v>
      </c>
      <c r="B958" s="316" t="s">
        <v>9</v>
      </c>
      <c r="C958" s="178" t="s">
        <v>153</v>
      </c>
      <c r="D958" s="75" t="s">
        <v>54</v>
      </c>
      <c r="E958" s="75">
        <v>184.16</v>
      </c>
      <c r="F958" s="356"/>
      <c r="G958" s="318">
        <v>0</v>
      </c>
      <c r="H958" s="317"/>
      <c r="I958" s="318">
        <f>E958*G958</f>
        <v>0</v>
      </c>
      <c r="J958" s="1"/>
      <c r="K958" s="276">
        <f>K960+K961+K962</f>
        <v>184.16</v>
      </c>
    </row>
    <row r="959" spans="1:11" x14ac:dyDescent="0.25">
      <c r="A959" s="29" t="s">
        <v>87</v>
      </c>
      <c r="B959" s="205" t="s">
        <v>13</v>
      </c>
      <c r="C959" s="73" t="s">
        <v>55</v>
      </c>
      <c r="D959" s="71" t="s">
        <v>38</v>
      </c>
      <c r="E959" s="72">
        <f>0.606*E958</f>
        <v>111.6</v>
      </c>
      <c r="F959" s="113">
        <v>0</v>
      </c>
      <c r="G959" s="15"/>
      <c r="H959" s="33">
        <f>E959*F959</f>
        <v>0</v>
      </c>
      <c r="I959" s="15"/>
      <c r="J959" s="1"/>
      <c r="K959" s="1"/>
    </row>
    <row r="960" spans="1:11" x14ac:dyDescent="0.25">
      <c r="A960" s="29" t="s">
        <v>396</v>
      </c>
      <c r="B960" s="205" t="s">
        <v>13</v>
      </c>
      <c r="C960" s="73" t="s">
        <v>155</v>
      </c>
      <c r="D960" s="71" t="s">
        <v>58</v>
      </c>
      <c r="E960" s="71">
        <v>475.3</v>
      </c>
      <c r="F960" s="113">
        <v>0</v>
      </c>
      <c r="G960" s="15"/>
      <c r="H960" s="33">
        <f>E960*F960</f>
        <v>0</v>
      </c>
      <c r="I960" s="15"/>
      <c r="J960" s="1"/>
      <c r="K960" s="1">
        <v>149.32</v>
      </c>
    </row>
    <row r="961" spans="1:11" x14ac:dyDescent="0.25">
      <c r="A961" s="29" t="s">
        <v>398</v>
      </c>
      <c r="B961" s="205" t="s">
        <v>13</v>
      </c>
      <c r="C961" s="73" t="s">
        <v>158</v>
      </c>
      <c r="D961" s="71" t="s">
        <v>14</v>
      </c>
      <c r="E961" s="71">
        <v>268</v>
      </c>
      <c r="F961" s="113">
        <v>0</v>
      </c>
      <c r="G961" s="15"/>
      <c r="H961" s="33">
        <f>E961*F961</f>
        <v>0</v>
      </c>
      <c r="I961" s="15"/>
      <c r="J961" s="1"/>
      <c r="K961" s="1">
        <f>0.03*E961</f>
        <v>8.0399999999999991</v>
      </c>
    </row>
    <row r="962" spans="1:11" ht="30" x14ac:dyDescent="0.25">
      <c r="A962" s="29" t="s">
        <v>397</v>
      </c>
      <c r="B962" s="205" t="s">
        <v>13</v>
      </c>
      <c r="C962" s="73" t="s">
        <v>159</v>
      </c>
      <c r="D962" s="71" t="s">
        <v>14</v>
      </c>
      <c r="E962" s="71">
        <v>268</v>
      </c>
      <c r="F962" s="113">
        <v>0</v>
      </c>
      <c r="G962" s="15"/>
      <c r="H962" s="33">
        <f>E962*F962</f>
        <v>0</v>
      </c>
      <c r="I962" s="15"/>
      <c r="J962" s="1"/>
      <c r="K962" s="1">
        <f>0.1*E962</f>
        <v>26.8</v>
      </c>
    </row>
    <row r="963" spans="1:11" ht="30" x14ac:dyDescent="0.25">
      <c r="A963" s="29" t="s">
        <v>399</v>
      </c>
      <c r="B963" s="205" t="s">
        <v>13</v>
      </c>
      <c r="C963" s="77" t="s">
        <v>156</v>
      </c>
      <c r="D963" s="20" t="s">
        <v>14</v>
      </c>
      <c r="E963" s="20">
        <v>268</v>
      </c>
      <c r="F963" s="113">
        <v>0</v>
      </c>
      <c r="G963" s="15"/>
      <c r="H963" s="33">
        <f>E963*F963</f>
        <v>0</v>
      </c>
      <c r="I963" s="15"/>
      <c r="J963" s="1"/>
      <c r="K963" s="1"/>
    </row>
    <row r="964" spans="1:11" ht="42.75" x14ac:dyDescent="0.25">
      <c r="A964" s="26" t="s">
        <v>88</v>
      </c>
      <c r="B964" s="239" t="s">
        <v>9</v>
      </c>
      <c r="C964" s="179" t="s">
        <v>157</v>
      </c>
      <c r="D964" s="19" t="s">
        <v>54</v>
      </c>
      <c r="E964" s="19">
        <v>247.16</v>
      </c>
      <c r="F964" s="103"/>
      <c r="G964" s="58">
        <v>0</v>
      </c>
      <c r="H964" s="28"/>
      <c r="I964" s="58">
        <f>E964*G964</f>
        <v>0</v>
      </c>
      <c r="J964" s="1"/>
      <c r="K964" s="115">
        <f>K966+K967+K968+K971+K972+K969+K970</f>
        <v>247.16</v>
      </c>
    </row>
    <row r="965" spans="1:11" x14ac:dyDescent="0.25">
      <c r="A965" s="29" t="s">
        <v>89</v>
      </c>
      <c r="B965" s="205" t="s">
        <v>13</v>
      </c>
      <c r="C965" s="180" t="s">
        <v>165</v>
      </c>
      <c r="D965" s="20" t="s">
        <v>38</v>
      </c>
      <c r="E965" s="76">
        <f>0.712*E964</f>
        <v>175.98</v>
      </c>
      <c r="F965" s="113">
        <v>0</v>
      </c>
      <c r="G965" s="15"/>
      <c r="H965" s="33">
        <f t="shared" ref="H965:H972" si="81">E965*F965</f>
        <v>0</v>
      </c>
      <c r="I965" s="15"/>
      <c r="J965" s="1"/>
      <c r="K965" s="1"/>
    </row>
    <row r="966" spans="1:11" x14ac:dyDescent="0.25">
      <c r="A966" s="29" t="s">
        <v>90</v>
      </c>
      <c r="B966" s="205" t="s">
        <v>13</v>
      </c>
      <c r="C966" s="180" t="s">
        <v>160</v>
      </c>
      <c r="D966" s="20" t="s">
        <v>58</v>
      </c>
      <c r="E966" s="20">
        <v>55.1</v>
      </c>
      <c r="F966" s="113">
        <v>0</v>
      </c>
      <c r="G966" s="15"/>
      <c r="H966" s="33">
        <f t="shared" si="81"/>
        <v>0</v>
      </c>
      <c r="I966" s="15"/>
      <c r="J966" s="1"/>
      <c r="K966" s="1">
        <f>0.8*E966</f>
        <v>44.08</v>
      </c>
    </row>
    <row r="967" spans="1:11" x14ac:dyDescent="0.25">
      <c r="A967" s="29" t="s">
        <v>91</v>
      </c>
      <c r="B967" s="205" t="s">
        <v>13</v>
      </c>
      <c r="C967" s="180" t="s">
        <v>161</v>
      </c>
      <c r="D967" s="20" t="s">
        <v>58</v>
      </c>
      <c r="E967" s="20">
        <v>249.1</v>
      </c>
      <c r="F967" s="113">
        <v>0</v>
      </c>
      <c r="G967" s="15"/>
      <c r="H967" s="33">
        <f t="shared" si="81"/>
        <v>0</v>
      </c>
      <c r="I967" s="15"/>
      <c r="J967" s="1"/>
      <c r="K967" s="1">
        <f>0.8*E967</f>
        <v>199.28</v>
      </c>
    </row>
    <row r="968" spans="1:11" x14ac:dyDescent="0.25">
      <c r="A968" s="29" t="s">
        <v>400</v>
      </c>
      <c r="B968" s="205" t="s">
        <v>13</v>
      </c>
      <c r="C968" s="180" t="s">
        <v>162</v>
      </c>
      <c r="D968" s="20" t="s">
        <v>14</v>
      </c>
      <c r="E968" s="20">
        <v>5</v>
      </c>
      <c r="F968" s="113">
        <v>0</v>
      </c>
      <c r="G968" s="15"/>
      <c r="H968" s="33">
        <f t="shared" si="81"/>
        <v>0</v>
      </c>
      <c r="I968" s="15"/>
      <c r="J968" s="1"/>
      <c r="K968" s="1">
        <f>0.13*E968</f>
        <v>0.65</v>
      </c>
    </row>
    <row r="969" spans="1:11" ht="30" x14ac:dyDescent="0.25">
      <c r="A969" s="29" t="s">
        <v>401</v>
      </c>
      <c r="B969" s="205" t="s">
        <v>13</v>
      </c>
      <c r="C969" s="180" t="s">
        <v>163</v>
      </c>
      <c r="D969" s="20" t="s">
        <v>14</v>
      </c>
      <c r="E969" s="20">
        <v>1</v>
      </c>
      <c r="F969" s="113">
        <v>0</v>
      </c>
      <c r="G969" s="15"/>
      <c r="H969" s="33">
        <f t="shared" si="81"/>
        <v>0</v>
      </c>
      <c r="I969" s="15"/>
      <c r="J969" s="1"/>
      <c r="K969" s="115">
        <f>0.33*E969</f>
        <v>0.33</v>
      </c>
    </row>
    <row r="970" spans="1:11" x14ac:dyDescent="0.25">
      <c r="A970" s="29" t="s">
        <v>402</v>
      </c>
      <c r="B970" s="205" t="s">
        <v>13</v>
      </c>
      <c r="C970" s="180" t="s">
        <v>584</v>
      </c>
      <c r="D970" s="20" t="s">
        <v>14</v>
      </c>
      <c r="E970" s="20">
        <v>1</v>
      </c>
      <c r="F970" s="113">
        <v>0</v>
      </c>
      <c r="G970" s="15"/>
      <c r="H970" s="33">
        <f t="shared" si="81"/>
        <v>0</v>
      </c>
      <c r="I970" s="15"/>
      <c r="J970" s="1"/>
      <c r="K970" s="115">
        <f>0.08*E970</f>
        <v>0.08</v>
      </c>
    </row>
    <row r="971" spans="1:11" x14ac:dyDescent="0.25">
      <c r="A971" s="29" t="s">
        <v>403</v>
      </c>
      <c r="B971" s="205" t="s">
        <v>13</v>
      </c>
      <c r="C971" s="180" t="s">
        <v>171</v>
      </c>
      <c r="D971" s="20" t="s">
        <v>14</v>
      </c>
      <c r="E971" s="20">
        <v>5</v>
      </c>
      <c r="F971" s="113">
        <v>0</v>
      </c>
      <c r="G971" s="15"/>
      <c r="H971" s="33">
        <f t="shared" si="81"/>
        <v>0</v>
      </c>
      <c r="I971" s="15"/>
      <c r="J971" s="1"/>
      <c r="K971" s="1">
        <f>0.08*E971</f>
        <v>0.4</v>
      </c>
    </row>
    <row r="972" spans="1:11" ht="30" x14ac:dyDescent="0.25">
      <c r="A972" s="29" t="s">
        <v>404</v>
      </c>
      <c r="B972" s="205" t="s">
        <v>13</v>
      </c>
      <c r="C972" s="180" t="s">
        <v>164</v>
      </c>
      <c r="D972" s="20" t="s">
        <v>14</v>
      </c>
      <c r="E972" s="20">
        <v>6</v>
      </c>
      <c r="F972" s="113">
        <v>0</v>
      </c>
      <c r="G972" s="15"/>
      <c r="H972" s="33">
        <f t="shared" si="81"/>
        <v>0</v>
      </c>
      <c r="I972" s="15"/>
      <c r="J972" s="1"/>
      <c r="K972" s="1">
        <f>0.39*E972</f>
        <v>2.34</v>
      </c>
    </row>
    <row r="973" spans="1:11" ht="42.75" x14ac:dyDescent="0.25">
      <c r="A973" s="26" t="s">
        <v>92</v>
      </c>
      <c r="B973" s="228" t="s">
        <v>9</v>
      </c>
      <c r="C973" s="178" t="s">
        <v>166</v>
      </c>
      <c r="D973" s="19" t="s">
        <v>54</v>
      </c>
      <c r="E973" s="19">
        <v>537.61</v>
      </c>
      <c r="F973" s="103"/>
      <c r="G973" s="58">
        <v>0</v>
      </c>
      <c r="H973" s="28"/>
      <c r="I973" s="58">
        <f>E973*G973</f>
        <v>0</v>
      </c>
      <c r="J973" s="1"/>
      <c r="K973" s="1">
        <f>SUM(K974:K989)</f>
        <v>537.61</v>
      </c>
    </row>
    <row r="974" spans="1:11" x14ac:dyDescent="0.25">
      <c r="A974" s="29" t="s">
        <v>93</v>
      </c>
      <c r="B974" s="205" t="s">
        <v>13</v>
      </c>
      <c r="C974" s="77" t="s">
        <v>55</v>
      </c>
      <c r="D974" s="20" t="s">
        <v>38</v>
      </c>
      <c r="E974" s="76">
        <f>1.22*E973</f>
        <v>655.88</v>
      </c>
      <c r="F974" s="113">
        <v>0</v>
      </c>
      <c r="G974" s="15"/>
      <c r="H974" s="33">
        <f t="shared" ref="H974:H989" si="82">E974*F974</f>
        <v>0</v>
      </c>
      <c r="I974" s="15"/>
      <c r="J974" s="1"/>
      <c r="K974" s="1"/>
    </row>
    <row r="975" spans="1:11" x14ac:dyDescent="0.25">
      <c r="A975" s="29" t="s">
        <v>94</v>
      </c>
      <c r="B975" s="205" t="s">
        <v>13</v>
      </c>
      <c r="C975" s="77" t="s">
        <v>167</v>
      </c>
      <c r="D975" s="20" t="s">
        <v>58</v>
      </c>
      <c r="E975" s="20">
        <v>351.1</v>
      </c>
      <c r="F975" s="113">
        <v>0</v>
      </c>
      <c r="G975" s="15"/>
      <c r="H975" s="33">
        <f t="shared" si="82"/>
        <v>0</v>
      </c>
      <c r="I975" s="15"/>
      <c r="J975" s="1"/>
      <c r="K975" s="1">
        <f>1.3*E975</f>
        <v>456.43</v>
      </c>
    </row>
    <row r="976" spans="1:11" ht="30" x14ac:dyDescent="0.25">
      <c r="A976" s="29" t="s">
        <v>95</v>
      </c>
      <c r="B976" s="205" t="s">
        <v>13</v>
      </c>
      <c r="C976" s="77" t="s">
        <v>644</v>
      </c>
      <c r="D976" s="20" t="s">
        <v>58</v>
      </c>
      <c r="E976" s="20">
        <v>0.1</v>
      </c>
      <c r="F976" s="113">
        <v>0</v>
      </c>
      <c r="G976" s="15"/>
      <c r="H976" s="33">
        <f t="shared" si="82"/>
        <v>0</v>
      </c>
      <c r="I976" s="15"/>
      <c r="J976" s="1"/>
      <c r="K976" s="1">
        <f>1.1*E976</f>
        <v>0.11</v>
      </c>
    </row>
    <row r="977" spans="1:19" ht="30" x14ac:dyDescent="0.25">
      <c r="A977" s="29" t="s">
        <v>408</v>
      </c>
      <c r="B977" s="205" t="s">
        <v>13</v>
      </c>
      <c r="C977" s="77" t="s">
        <v>643</v>
      </c>
      <c r="D977" s="20" t="s">
        <v>58</v>
      </c>
      <c r="E977" s="20">
        <v>51</v>
      </c>
      <c r="F977" s="113">
        <v>0</v>
      </c>
      <c r="G977" s="15"/>
      <c r="H977" s="33">
        <f t="shared" si="82"/>
        <v>0</v>
      </c>
      <c r="I977" s="15"/>
      <c r="J977" s="1"/>
      <c r="K977" s="1">
        <f>1.1*E977</f>
        <v>56.1</v>
      </c>
    </row>
    <row r="978" spans="1:19" x14ac:dyDescent="0.25">
      <c r="A978" s="29" t="s">
        <v>409</v>
      </c>
      <c r="B978" s="205" t="s">
        <v>13</v>
      </c>
      <c r="C978" s="77" t="s">
        <v>169</v>
      </c>
      <c r="D978" s="20" t="s">
        <v>58</v>
      </c>
      <c r="E978" s="20">
        <v>4.8</v>
      </c>
      <c r="F978" s="113">
        <v>0</v>
      </c>
      <c r="G978" s="15"/>
      <c r="H978" s="33">
        <f t="shared" si="82"/>
        <v>0</v>
      </c>
      <c r="I978" s="15"/>
      <c r="J978" s="1"/>
      <c r="K978" s="1">
        <f>1.3*E978</f>
        <v>6.24</v>
      </c>
    </row>
    <row r="979" spans="1:19" ht="30" x14ac:dyDescent="0.25">
      <c r="A979" s="29" t="s">
        <v>410</v>
      </c>
      <c r="B979" s="205" t="s">
        <v>13</v>
      </c>
      <c r="C979" s="77" t="s">
        <v>645</v>
      </c>
      <c r="D979" s="20" t="s">
        <v>58</v>
      </c>
      <c r="E979" s="20">
        <v>2.6</v>
      </c>
      <c r="F979" s="113">
        <v>0</v>
      </c>
      <c r="G979" s="15"/>
      <c r="H979" s="33">
        <f t="shared" si="82"/>
        <v>0</v>
      </c>
      <c r="I979" s="15"/>
      <c r="J979" s="1"/>
      <c r="K979" s="1">
        <f>1.4*E979</f>
        <v>3.64</v>
      </c>
    </row>
    <row r="980" spans="1:19" ht="30" x14ac:dyDescent="0.25">
      <c r="A980" s="29" t="s">
        <v>411</v>
      </c>
      <c r="B980" s="205" t="s">
        <v>13</v>
      </c>
      <c r="C980" s="77" t="s">
        <v>646</v>
      </c>
      <c r="D980" s="20" t="s">
        <v>58</v>
      </c>
      <c r="E980" s="20">
        <v>2.2000000000000002</v>
      </c>
      <c r="F980" s="113">
        <v>0</v>
      </c>
      <c r="G980" s="15"/>
      <c r="H980" s="33">
        <f t="shared" si="82"/>
        <v>0</v>
      </c>
      <c r="I980" s="15"/>
      <c r="J980" s="1"/>
      <c r="K980" s="1">
        <f>1.6*E980</f>
        <v>3.52</v>
      </c>
    </row>
    <row r="981" spans="1:19" x14ac:dyDescent="0.25">
      <c r="A981" s="29" t="s">
        <v>430</v>
      </c>
      <c r="B981" s="205" t="s">
        <v>13</v>
      </c>
      <c r="C981" s="77" t="s">
        <v>195</v>
      </c>
      <c r="D981" s="20" t="s">
        <v>14</v>
      </c>
      <c r="E981" s="20">
        <v>1</v>
      </c>
      <c r="F981" s="113">
        <v>0</v>
      </c>
      <c r="G981" s="15"/>
      <c r="H981" s="33">
        <f t="shared" si="82"/>
        <v>0</v>
      </c>
      <c r="I981" s="15"/>
      <c r="J981" s="1"/>
      <c r="K981" s="1">
        <f>0.39*E981</f>
        <v>0.39</v>
      </c>
    </row>
    <row r="982" spans="1:19" x14ac:dyDescent="0.25">
      <c r="A982" s="29" t="s">
        <v>431</v>
      </c>
      <c r="B982" s="205" t="s">
        <v>13</v>
      </c>
      <c r="C982" s="77" t="s">
        <v>174</v>
      </c>
      <c r="D982" s="20" t="s">
        <v>14</v>
      </c>
      <c r="E982" s="20">
        <v>6</v>
      </c>
      <c r="F982" s="113">
        <v>0</v>
      </c>
      <c r="G982" s="15"/>
      <c r="H982" s="33">
        <f t="shared" si="82"/>
        <v>0</v>
      </c>
      <c r="I982" s="15"/>
      <c r="J982" s="1"/>
      <c r="K982" s="1">
        <f>0.46*E982</f>
        <v>2.76</v>
      </c>
      <c r="L982" s="401"/>
      <c r="M982" s="401"/>
      <c r="N982" s="401"/>
      <c r="O982" s="401"/>
      <c r="P982" s="401"/>
      <c r="Q982" s="401"/>
      <c r="R982" s="401"/>
      <c r="S982" s="401"/>
    </row>
    <row r="983" spans="1:19" x14ac:dyDescent="0.25">
      <c r="A983" s="29" t="s">
        <v>432</v>
      </c>
      <c r="B983" s="205" t="s">
        <v>13</v>
      </c>
      <c r="C983" s="77" t="s">
        <v>314</v>
      </c>
      <c r="D983" s="20" t="s">
        <v>14</v>
      </c>
      <c r="E983" s="20">
        <v>7</v>
      </c>
      <c r="F983" s="113">
        <v>0</v>
      </c>
      <c r="G983" s="15"/>
      <c r="H983" s="33">
        <f t="shared" si="82"/>
        <v>0</v>
      </c>
      <c r="I983" s="15"/>
      <c r="J983" s="1"/>
      <c r="K983" s="1">
        <f>0.17*E983</f>
        <v>1.19</v>
      </c>
    </row>
    <row r="984" spans="1:19" x14ac:dyDescent="0.25">
      <c r="A984" s="29" t="s">
        <v>433</v>
      </c>
      <c r="B984" s="205" t="s">
        <v>13</v>
      </c>
      <c r="C984" s="77" t="s">
        <v>196</v>
      </c>
      <c r="D984" s="20" t="s">
        <v>14</v>
      </c>
      <c r="E984" s="20">
        <v>1</v>
      </c>
      <c r="F984" s="113">
        <v>0</v>
      </c>
      <c r="G984" s="15"/>
      <c r="H984" s="33">
        <f t="shared" si="82"/>
        <v>0</v>
      </c>
      <c r="I984" s="15"/>
      <c r="J984" s="1"/>
      <c r="K984" s="1">
        <f>0.13*E984</f>
        <v>0.13</v>
      </c>
    </row>
    <row r="985" spans="1:19" x14ac:dyDescent="0.25">
      <c r="A985" s="29" t="s">
        <v>434</v>
      </c>
      <c r="B985" s="205" t="s">
        <v>13</v>
      </c>
      <c r="C985" s="77" t="s">
        <v>177</v>
      </c>
      <c r="D985" s="20" t="s">
        <v>14</v>
      </c>
      <c r="E985" s="20">
        <v>7</v>
      </c>
      <c r="F985" s="113">
        <v>0</v>
      </c>
      <c r="G985" s="15"/>
      <c r="H985" s="33">
        <f t="shared" si="82"/>
        <v>0</v>
      </c>
      <c r="I985" s="15"/>
      <c r="J985" s="1"/>
      <c r="K985" s="1">
        <f>0.64*E985</f>
        <v>4.4800000000000004</v>
      </c>
    </row>
    <row r="986" spans="1:19" x14ac:dyDescent="0.25">
      <c r="A986" s="29" t="s">
        <v>435</v>
      </c>
      <c r="B986" s="205" t="s">
        <v>13</v>
      </c>
      <c r="C986" s="77" t="s">
        <v>197</v>
      </c>
      <c r="D986" s="20" t="s">
        <v>14</v>
      </c>
      <c r="E986" s="20">
        <v>1</v>
      </c>
      <c r="F986" s="113">
        <v>0</v>
      </c>
      <c r="G986" s="15"/>
      <c r="H986" s="33">
        <f t="shared" si="82"/>
        <v>0</v>
      </c>
      <c r="I986" s="15"/>
      <c r="J986" s="1"/>
      <c r="K986" s="1">
        <f>0.54*E986</f>
        <v>0.54</v>
      </c>
    </row>
    <row r="987" spans="1:19" x14ac:dyDescent="0.25">
      <c r="A987" s="29" t="s">
        <v>841</v>
      </c>
      <c r="B987" s="205" t="s">
        <v>13</v>
      </c>
      <c r="C987" s="77" t="s">
        <v>308</v>
      </c>
      <c r="D987" s="20" t="s">
        <v>14</v>
      </c>
      <c r="E987" s="20">
        <v>1</v>
      </c>
      <c r="F987" s="113">
        <v>0</v>
      </c>
      <c r="G987" s="15"/>
      <c r="H987" s="33">
        <f t="shared" si="82"/>
        <v>0</v>
      </c>
      <c r="I987" s="15"/>
      <c r="J987" s="1"/>
      <c r="K987" s="1">
        <f>0.79*E987</f>
        <v>0.79</v>
      </c>
    </row>
    <row r="988" spans="1:19" x14ac:dyDescent="0.25">
      <c r="A988" s="29" t="s">
        <v>842</v>
      </c>
      <c r="B988" s="205" t="s">
        <v>13</v>
      </c>
      <c r="C988" s="77" t="s">
        <v>647</v>
      </c>
      <c r="D988" s="20" t="s">
        <v>14</v>
      </c>
      <c r="E988" s="20">
        <v>1</v>
      </c>
      <c r="F988" s="113">
        <v>0</v>
      </c>
      <c r="G988" s="15"/>
      <c r="H988" s="33">
        <f t="shared" si="82"/>
        <v>0</v>
      </c>
      <c r="I988" s="15"/>
      <c r="J988" s="1"/>
      <c r="K988" s="1">
        <f>0.61*E988</f>
        <v>0.61</v>
      </c>
    </row>
    <row r="989" spans="1:19" x14ac:dyDescent="0.25">
      <c r="A989" s="29" t="s">
        <v>843</v>
      </c>
      <c r="B989" s="205" t="s">
        <v>13</v>
      </c>
      <c r="C989" s="11" t="s">
        <v>648</v>
      </c>
      <c r="D989" s="20" t="s">
        <v>14</v>
      </c>
      <c r="E989" s="20">
        <v>1</v>
      </c>
      <c r="F989" s="113">
        <v>0</v>
      </c>
      <c r="G989" s="15"/>
      <c r="H989" s="33">
        <f t="shared" si="82"/>
        <v>0</v>
      </c>
      <c r="I989" s="15"/>
      <c r="J989" s="1"/>
      <c r="K989" s="1">
        <f>0.68*E989</f>
        <v>0.68</v>
      </c>
    </row>
    <row r="990" spans="1:19" ht="42.75" x14ac:dyDescent="0.25">
      <c r="A990" s="26" t="s">
        <v>96</v>
      </c>
      <c r="B990" s="228" t="s">
        <v>9</v>
      </c>
      <c r="C990" s="178" t="s">
        <v>180</v>
      </c>
      <c r="D990" s="19" t="s">
        <v>54</v>
      </c>
      <c r="E990" s="19">
        <v>97.94</v>
      </c>
      <c r="F990" s="103"/>
      <c r="G990" s="58">
        <v>0</v>
      </c>
      <c r="H990" s="28"/>
      <c r="I990" s="58">
        <f>E990*G990</f>
        <v>0</v>
      </c>
      <c r="J990" s="1"/>
      <c r="K990" s="1">
        <f>K992+K993+K994+K995</f>
        <v>16.68</v>
      </c>
    </row>
    <row r="991" spans="1:19" x14ac:dyDescent="0.25">
      <c r="A991" s="29" t="s">
        <v>97</v>
      </c>
      <c r="B991" s="240" t="s">
        <v>13</v>
      </c>
      <c r="C991" s="77" t="s">
        <v>55</v>
      </c>
      <c r="D991" s="20" t="s">
        <v>38</v>
      </c>
      <c r="E991" s="76">
        <f>2.25*E990</f>
        <v>220.37</v>
      </c>
      <c r="F991" s="113">
        <v>0</v>
      </c>
      <c r="G991" s="15"/>
      <c r="H991" s="33">
        <f>F991*E991</f>
        <v>0</v>
      </c>
      <c r="I991" s="15"/>
      <c r="J991" s="1"/>
      <c r="K991" s="1"/>
    </row>
    <row r="992" spans="1:19" ht="30" x14ac:dyDescent="0.25">
      <c r="A992" s="29" t="s">
        <v>98</v>
      </c>
      <c r="B992" s="240" t="s">
        <v>13</v>
      </c>
      <c r="C992" s="77" t="s">
        <v>649</v>
      </c>
      <c r="D992" s="20" t="s">
        <v>58</v>
      </c>
      <c r="E992" s="76">
        <v>8.1</v>
      </c>
      <c r="F992" s="113">
        <v>0</v>
      </c>
      <c r="G992" s="15"/>
      <c r="H992" s="33">
        <f>E992*F992</f>
        <v>0</v>
      </c>
      <c r="I992" s="15"/>
      <c r="J992" s="1"/>
      <c r="K992" s="1">
        <f>1.8*E992</f>
        <v>14.58</v>
      </c>
    </row>
    <row r="993" spans="1:11" x14ac:dyDescent="0.25">
      <c r="A993" s="29" t="s">
        <v>414</v>
      </c>
      <c r="B993" s="205" t="s">
        <v>13</v>
      </c>
      <c r="C993" s="77" t="s">
        <v>650</v>
      </c>
      <c r="D993" s="20" t="s">
        <v>14</v>
      </c>
      <c r="E993" s="20">
        <v>1</v>
      </c>
      <c r="F993" s="113">
        <v>0</v>
      </c>
      <c r="G993" s="15"/>
      <c r="H993" s="33">
        <f t="shared" ref="H993:H995" si="83">F993*E993</f>
        <v>0</v>
      </c>
      <c r="I993" s="15"/>
      <c r="J993" s="1"/>
      <c r="K993" s="1">
        <f>0.71*E993</f>
        <v>0.71</v>
      </c>
    </row>
    <row r="994" spans="1:11" x14ac:dyDescent="0.25">
      <c r="A994" s="29" t="s">
        <v>412</v>
      </c>
      <c r="B994" s="205" t="s">
        <v>13</v>
      </c>
      <c r="C994" s="77" t="s">
        <v>651</v>
      </c>
      <c r="D994" s="20" t="s">
        <v>14</v>
      </c>
      <c r="E994" s="20">
        <v>1</v>
      </c>
      <c r="F994" s="113">
        <v>0</v>
      </c>
      <c r="G994" s="15"/>
      <c r="H994" s="33">
        <f t="shared" si="83"/>
        <v>0</v>
      </c>
      <c r="I994" s="15"/>
      <c r="J994" s="1"/>
      <c r="K994" s="1">
        <f>0.62*E995</f>
        <v>0.62</v>
      </c>
    </row>
    <row r="995" spans="1:11" x14ac:dyDescent="0.25">
      <c r="A995" s="29" t="s">
        <v>413</v>
      </c>
      <c r="B995" s="205" t="s">
        <v>13</v>
      </c>
      <c r="C995" s="77" t="s">
        <v>652</v>
      </c>
      <c r="D995" s="20" t="s">
        <v>14</v>
      </c>
      <c r="E995" s="20">
        <v>1</v>
      </c>
      <c r="F995" s="113">
        <v>0</v>
      </c>
      <c r="G995" s="15"/>
      <c r="H995" s="33">
        <f t="shared" si="83"/>
        <v>0</v>
      </c>
      <c r="I995" s="15"/>
      <c r="J995" s="1"/>
      <c r="K995" s="1">
        <f>0.77*E995</f>
        <v>0.77</v>
      </c>
    </row>
    <row r="996" spans="1:11" ht="42.75" x14ac:dyDescent="0.25">
      <c r="A996" s="26" t="s">
        <v>99</v>
      </c>
      <c r="B996" s="228" t="s">
        <v>9</v>
      </c>
      <c r="C996" s="17" t="s">
        <v>285</v>
      </c>
      <c r="D996" s="19" t="s">
        <v>54</v>
      </c>
      <c r="E996" s="19">
        <v>22.88</v>
      </c>
      <c r="F996" s="113"/>
      <c r="G996" s="58">
        <v>0</v>
      </c>
      <c r="H996" s="33"/>
      <c r="I996" s="58">
        <f>E996*G996</f>
        <v>0</v>
      </c>
      <c r="J996" s="1"/>
      <c r="K996" s="1">
        <f>K998+K999+K1000</f>
        <v>22.88</v>
      </c>
    </row>
    <row r="997" spans="1:11" x14ac:dyDescent="0.25">
      <c r="A997" s="29" t="s">
        <v>100</v>
      </c>
      <c r="B997" s="205" t="s">
        <v>13</v>
      </c>
      <c r="C997" s="11" t="s">
        <v>55</v>
      </c>
      <c r="D997" s="20" t="s">
        <v>38</v>
      </c>
      <c r="E997" s="76">
        <f>2.25*E996</f>
        <v>51.48</v>
      </c>
      <c r="F997" s="113">
        <v>0</v>
      </c>
      <c r="G997" s="15"/>
      <c r="H997" s="33">
        <f t="shared" ref="H997:H1000" si="84">E997*F997</f>
        <v>0</v>
      </c>
      <c r="I997" s="15"/>
      <c r="J997" s="1"/>
      <c r="K997" s="1"/>
    </row>
    <row r="998" spans="1:11" ht="30" x14ac:dyDescent="0.25">
      <c r="A998" s="29" t="s">
        <v>101</v>
      </c>
      <c r="B998" s="205" t="s">
        <v>13</v>
      </c>
      <c r="C998" s="11" t="s">
        <v>590</v>
      </c>
      <c r="D998" s="20" t="s">
        <v>58</v>
      </c>
      <c r="E998" s="20">
        <v>7.8</v>
      </c>
      <c r="F998" s="113">
        <v>0</v>
      </c>
      <c r="G998" s="15"/>
      <c r="H998" s="33">
        <f t="shared" si="84"/>
        <v>0</v>
      </c>
      <c r="I998" s="15"/>
      <c r="J998" s="1"/>
      <c r="K998" s="1">
        <f>2.6*E998</f>
        <v>20.28</v>
      </c>
    </row>
    <row r="999" spans="1:11" x14ac:dyDescent="0.25">
      <c r="A999" s="29" t="s">
        <v>102</v>
      </c>
      <c r="B999" s="205" t="s">
        <v>13</v>
      </c>
      <c r="C999" s="11" t="s">
        <v>607</v>
      </c>
      <c r="D999" s="20" t="s">
        <v>14</v>
      </c>
      <c r="E999" s="20">
        <v>2</v>
      </c>
      <c r="F999" s="113">
        <v>0</v>
      </c>
      <c r="G999" s="15"/>
      <c r="H999" s="33">
        <f t="shared" si="84"/>
        <v>0</v>
      </c>
      <c r="I999" s="15"/>
      <c r="J999" s="1"/>
      <c r="K999" s="1">
        <f>0.91*E999</f>
        <v>1.82</v>
      </c>
    </row>
    <row r="1000" spans="1:11" x14ac:dyDescent="0.25">
      <c r="A1000" s="29" t="s">
        <v>103</v>
      </c>
      <c r="B1000" s="205" t="s">
        <v>13</v>
      </c>
      <c r="C1000" s="11" t="s">
        <v>593</v>
      </c>
      <c r="D1000" s="20" t="s">
        <v>14</v>
      </c>
      <c r="E1000" s="20">
        <v>2</v>
      </c>
      <c r="F1000" s="113">
        <v>0</v>
      </c>
      <c r="G1000" s="15"/>
      <c r="H1000" s="33">
        <f t="shared" si="84"/>
        <v>0</v>
      </c>
      <c r="I1000" s="15"/>
      <c r="J1000" s="1"/>
      <c r="K1000" s="1">
        <f>0.39*E1000</f>
        <v>0.78</v>
      </c>
    </row>
    <row r="1001" spans="1:11" ht="42.75" x14ac:dyDescent="0.25">
      <c r="A1001" s="26" t="s">
        <v>105</v>
      </c>
      <c r="B1001" s="228" t="s">
        <v>9</v>
      </c>
      <c r="C1001" s="17" t="s">
        <v>594</v>
      </c>
      <c r="D1001" s="19" t="s">
        <v>54</v>
      </c>
      <c r="E1001" s="19">
        <v>14.66</v>
      </c>
      <c r="F1001" s="113"/>
      <c r="G1001" s="58">
        <v>0</v>
      </c>
      <c r="H1001" s="33"/>
      <c r="I1001" s="58">
        <f>E1001*G1001</f>
        <v>0</v>
      </c>
      <c r="J1001" s="1"/>
      <c r="K1001" s="1"/>
    </row>
    <row r="1002" spans="1:11" x14ac:dyDescent="0.25">
      <c r="A1002" s="29" t="s">
        <v>149</v>
      </c>
      <c r="B1002" s="205" t="s">
        <v>13</v>
      </c>
      <c r="C1002" s="11" t="s">
        <v>55</v>
      </c>
      <c r="D1002" s="20" t="s">
        <v>38</v>
      </c>
      <c r="E1002" s="76">
        <f>2.25*E1001</f>
        <v>32.99</v>
      </c>
      <c r="F1002" s="113">
        <v>0</v>
      </c>
      <c r="G1002" s="15"/>
      <c r="H1002" s="33">
        <f t="shared" ref="H1002:H1007" si="85">E1002*F1002</f>
        <v>0</v>
      </c>
      <c r="I1002" s="15"/>
      <c r="J1002" s="1"/>
      <c r="K1002" s="1"/>
    </row>
    <row r="1003" spans="1:11" ht="30" x14ac:dyDescent="0.25">
      <c r="A1003" s="29" t="s">
        <v>139</v>
      </c>
      <c r="B1003" s="205" t="s">
        <v>13</v>
      </c>
      <c r="C1003" s="11" t="s">
        <v>595</v>
      </c>
      <c r="D1003" s="20" t="s">
        <v>58</v>
      </c>
      <c r="E1003" s="76">
        <v>0.7</v>
      </c>
      <c r="F1003" s="113">
        <v>0</v>
      </c>
      <c r="G1003" s="15"/>
      <c r="H1003" s="33">
        <f t="shared" si="85"/>
        <v>0</v>
      </c>
      <c r="I1003" s="15"/>
      <c r="J1003" s="1"/>
      <c r="K1003" s="1">
        <f>3.6*E1003</f>
        <v>2.52</v>
      </c>
    </row>
    <row r="1004" spans="1:11" ht="30" x14ac:dyDescent="0.25">
      <c r="A1004" s="29" t="s">
        <v>140</v>
      </c>
      <c r="B1004" s="205" t="s">
        <v>13</v>
      </c>
      <c r="C1004" s="11" t="s">
        <v>596</v>
      </c>
      <c r="D1004" s="20" t="s">
        <v>58</v>
      </c>
      <c r="E1004" s="20">
        <v>1.9</v>
      </c>
      <c r="F1004" s="113">
        <v>0</v>
      </c>
      <c r="G1004" s="15"/>
      <c r="H1004" s="33">
        <f t="shared" si="85"/>
        <v>0</v>
      </c>
      <c r="I1004" s="15"/>
      <c r="J1004" s="1"/>
      <c r="K1004" s="1">
        <f>3.6*E1004</f>
        <v>6.84</v>
      </c>
    </row>
    <row r="1005" spans="1:11" ht="30" x14ac:dyDescent="0.25">
      <c r="A1005" s="29" t="s">
        <v>141</v>
      </c>
      <c r="B1005" s="205" t="s">
        <v>13</v>
      </c>
      <c r="C1005" s="11" t="s">
        <v>598</v>
      </c>
      <c r="D1005" s="20" t="s">
        <v>14</v>
      </c>
      <c r="E1005" s="20">
        <v>1</v>
      </c>
      <c r="F1005" s="113">
        <v>0</v>
      </c>
      <c r="G1005" s="15"/>
      <c r="H1005" s="33">
        <f t="shared" si="85"/>
        <v>0</v>
      </c>
      <c r="I1005" s="15"/>
      <c r="J1005" s="1"/>
      <c r="K1005" s="1">
        <f>0.99*E1005</f>
        <v>0.99</v>
      </c>
    </row>
    <row r="1006" spans="1:11" x14ac:dyDescent="0.25">
      <c r="A1006" s="29" t="s">
        <v>453</v>
      </c>
      <c r="B1006" s="205" t="s">
        <v>13</v>
      </c>
      <c r="C1006" s="11" t="s">
        <v>614</v>
      </c>
      <c r="D1006" s="20" t="s">
        <v>14</v>
      </c>
      <c r="E1006" s="20">
        <v>1</v>
      </c>
      <c r="F1006" s="113">
        <v>0</v>
      </c>
      <c r="G1006" s="15"/>
      <c r="H1006" s="33">
        <f t="shared" si="85"/>
        <v>0</v>
      </c>
      <c r="I1006" s="15"/>
      <c r="J1006" s="1"/>
      <c r="K1006" s="1">
        <f>3.33*E1006</f>
        <v>3.33</v>
      </c>
    </row>
    <row r="1007" spans="1:11" x14ac:dyDescent="0.25">
      <c r="A1007" s="29" t="s">
        <v>831</v>
      </c>
      <c r="B1007" s="205" t="s">
        <v>13</v>
      </c>
      <c r="C1007" s="77" t="s">
        <v>597</v>
      </c>
      <c r="D1007" s="20" t="s">
        <v>14</v>
      </c>
      <c r="E1007" s="20">
        <v>1</v>
      </c>
      <c r="F1007" s="113">
        <v>0</v>
      </c>
      <c r="G1007" s="15"/>
      <c r="H1007" s="33">
        <f t="shared" si="85"/>
        <v>0</v>
      </c>
      <c r="I1007" s="15"/>
      <c r="J1007" s="1"/>
      <c r="K1007" s="1">
        <f>0.98*E1007</f>
        <v>0.98</v>
      </c>
    </row>
    <row r="1008" spans="1:11" ht="28.5" x14ac:dyDescent="0.25">
      <c r="A1008" s="26" t="s">
        <v>108</v>
      </c>
      <c r="B1008" s="228" t="s">
        <v>189</v>
      </c>
      <c r="C1008" s="17" t="s">
        <v>48</v>
      </c>
      <c r="D1008" s="19" t="s">
        <v>14</v>
      </c>
      <c r="E1008" s="19">
        <v>14</v>
      </c>
      <c r="F1008" s="103"/>
      <c r="G1008" s="58">
        <v>0</v>
      </c>
      <c r="H1008" s="28"/>
      <c r="I1008" s="58">
        <f>E1008*G1008</f>
        <v>0</v>
      </c>
      <c r="J1008" s="1"/>
      <c r="K1008" s="1"/>
    </row>
    <row r="1009" spans="1:11" ht="30" x14ac:dyDescent="0.25">
      <c r="A1009" s="29" t="s">
        <v>106</v>
      </c>
      <c r="B1009" s="205" t="s">
        <v>13</v>
      </c>
      <c r="C1009" s="11" t="s">
        <v>186</v>
      </c>
      <c r="D1009" s="20" t="s">
        <v>14</v>
      </c>
      <c r="E1009" s="175">
        <v>6</v>
      </c>
      <c r="F1009" s="113">
        <v>0</v>
      </c>
      <c r="G1009" s="15"/>
      <c r="H1009" s="33">
        <f>E1009*F1009</f>
        <v>0</v>
      </c>
      <c r="I1009" s="15"/>
      <c r="J1009" s="1"/>
      <c r="K1009" s="1"/>
    </row>
    <row r="1010" spans="1:11" ht="30" x14ac:dyDescent="0.25">
      <c r="A1010" s="29" t="s">
        <v>107</v>
      </c>
      <c r="B1010" s="205" t="s">
        <v>13</v>
      </c>
      <c r="C1010" s="55" t="s">
        <v>201</v>
      </c>
      <c r="D1010" s="94" t="s">
        <v>14</v>
      </c>
      <c r="E1010" s="288">
        <v>1</v>
      </c>
      <c r="F1010" s="120">
        <v>0</v>
      </c>
      <c r="G1010" s="127"/>
      <c r="H1010" s="186">
        <f>E1010*F1010</f>
        <v>0</v>
      </c>
      <c r="I1010" s="127"/>
      <c r="J1010" s="1"/>
      <c r="K1010" s="1"/>
    </row>
    <row r="1011" spans="1:11" ht="30" x14ac:dyDescent="0.25">
      <c r="A1011" s="29" t="s">
        <v>785</v>
      </c>
      <c r="B1011" s="205" t="s">
        <v>13</v>
      </c>
      <c r="C1011" s="55" t="s">
        <v>187</v>
      </c>
      <c r="D1011" s="94" t="s">
        <v>14</v>
      </c>
      <c r="E1011" s="20">
        <v>7</v>
      </c>
      <c r="F1011" s="113">
        <v>0</v>
      </c>
      <c r="G1011" s="15"/>
      <c r="H1011" s="33">
        <f>E1011*F1011</f>
        <v>0</v>
      </c>
      <c r="I1011" s="15"/>
      <c r="J1011" s="1"/>
      <c r="K1011" s="1"/>
    </row>
    <row r="1012" spans="1:11" ht="28.5" x14ac:dyDescent="0.25">
      <c r="A1012" s="26" t="s">
        <v>109</v>
      </c>
      <c r="B1012" s="228" t="s">
        <v>189</v>
      </c>
      <c r="C1012" s="17" t="s">
        <v>52</v>
      </c>
      <c r="D1012" s="19" t="s">
        <v>14</v>
      </c>
      <c r="E1012" s="19">
        <v>0</v>
      </c>
      <c r="F1012" s="103"/>
      <c r="G1012" s="58">
        <v>0</v>
      </c>
      <c r="H1012" s="28"/>
      <c r="I1012" s="58">
        <f>E1012*G1012</f>
        <v>0</v>
      </c>
      <c r="J1012" s="1"/>
      <c r="K1012" s="1"/>
    </row>
    <row r="1013" spans="1:11" ht="30" x14ac:dyDescent="0.25">
      <c r="A1013" s="29" t="s">
        <v>110</v>
      </c>
      <c r="B1013" s="205" t="s">
        <v>13</v>
      </c>
      <c r="C1013" s="11" t="s">
        <v>311</v>
      </c>
      <c r="D1013" s="20" t="s">
        <v>14</v>
      </c>
      <c r="E1013" s="175">
        <v>0</v>
      </c>
      <c r="F1013" s="113">
        <v>0</v>
      </c>
      <c r="G1013" s="15"/>
      <c r="H1013" s="33">
        <f>E1013*F1013</f>
        <v>0</v>
      </c>
      <c r="I1013" s="15"/>
      <c r="J1013" s="1"/>
      <c r="K1013" s="1"/>
    </row>
    <row r="1014" spans="1:11" ht="28.5" x14ac:dyDescent="0.25">
      <c r="A1014" s="26" t="s">
        <v>112</v>
      </c>
      <c r="B1014" s="239" t="s">
        <v>9</v>
      </c>
      <c r="C1014" s="17" t="s">
        <v>137</v>
      </c>
      <c r="D1014" s="19" t="s">
        <v>14</v>
      </c>
      <c r="E1014" s="19">
        <v>143</v>
      </c>
      <c r="F1014" s="28"/>
      <c r="G1014" s="58">
        <v>0</v>
      </c>
      <c r="H1014" s="28"/>
      <c r="I1014" s="58">
        <f>E1014*G1014</f>
        <v>0</v>
      </c>
      <c r="J1014" s="1"/>
      <c r="K1014" s="1"/>
    </row>
    <row r="1015" spans="1:11" x14ac:dyDescent="0.25">
      <c r="A1015" s="29" t="s">
        <v>113</v>
      </c>
      <c r="B1015" s="205" t="s">
        <v>13</v>
      </c>
      <c r="C1015" s="11" t="s">
        <v>191</v>
      </c>
      <c r="D1015" s="20" t="s">
        <v>14</v>
      </c>
      <c r="E1015" s="20">
        <v>143</v>
      </c>
      <c r="F1015" s="113">
        <v>0</v>
      </c>
      <c r="G1015" s="58"/>
      <c r="H1015" s="186">
        <f t="shared" ref="H1015" si="86">E1015*F1015</f>
        <v>0</v>
      </c>
      <c r="I1015" s="58"/>
      <c r="J1015" s="1"/>
      <c r="K1015" s="1"/>
    </row>
    <row r="1016" spans="1:11" ht="28.5" x14ac:dyDescent="0.25">
      <c r="A1016" s="26" t="s">
        <v>115</v>
      </c>
      <c r="B1016" s="239" t="s">
        <v>9</v>
      </c>
      <c r="C1016" s="17" t="s">
        <v>502</v>
      </c>
      <c r="D1016" s="19" t="s">
        <v>14</v>
      </c>
      <c r="E1016" s="19">
        <v>125</v>
      </c>
      <c r="F1016" s="28"/>
      <c r="G1016" s="58">
        <v>0</v>
      </c>
      <c r="H1016" s="28"/>
      <c r="I1016" s="58">
        <f>E1016*G1016</f>
        <v>0</v>
      </c>
      <c r="J1016" s="1"/>
      <c r="K1016" s="1"/>
    </row>
    <row r="1017" spans="1:11" x14ac:dyDescent="0.25">
      <c r="A1017" s="129" t="s">
        <v>116</v>
      </c>
      <c r="B1017" s="205" t="s">
        <v>13</v>
      </c>
      <c r="C1017" s="11" t="s">
        <v>190</v>
      </c>
      <c r="D1017" s="20" t="s">
        <v>14</v>
      </c>
      <c r="E1017" s="20">
        <v>125</v>
      </c>
      <c r="F1017" s="113">
        <v>0</v>
      </c>
      <c r="G1017" s="15"/>
      <c r="H1017" s="186">
        <f t="shared" ref="H1017" si="87">E1017*F1017</f>
        <v>0</v>
      </c>
      <c r="I1017" s="15"/>
      <c r="J1017" s="1"/>
      <c r="K1017" s="1"/>
    </row>
    <row r="1018" spans="1:11" ht="28.5" x14ac:dyDescent="0.25">
      <c r="A1018" s="251">
        <v>26</v>
      </c>
      <c r="B1018" s="239" t="s">
        <v>9</v>
      </c>
      <c r="C1018" s="17" t="s">
        <v>615</v>
      </c>
      <c r="D1018" s="19" t="s">
        <v>14</v>
      </c>
      <c r="E1018" s="19">
        <v>1</v>
      </c>
      <c r="F1018" s="103"/>
      <c r="G1018" s="58">
        <v>0</v>
      </c>
      <c r="H1018" s="28"/>
      <c r="I1018" s="58">
        <f>E1018*G1018</f>
        <v>0</v>
      </c>
      <c r="J1018" s="1"/>
      <c r="K1018" s="1"/>
    </row>
    <row r="1019" spans="1:11" x14ac:dyDescent="0.25">
      <c r="A1019" s="29" t="s">
        <v>119</v>
      </c>
      <c r="B1019" s="205" t="s">
        <v>13</v>
      </c>
      <c r="C1019" s="11" t="s">
        <v>616</v>
      </c>
      <c r="D1019" s="20" t="s">
        <v>14</v>
      </c>
      <c r="E1019" s="20">
        <v>1</v>
      </c>
      <c r="F1019" s="113">
        <v>0</v>
      </c>
      <c r="G1019" s="15"/>
      <c r="H1019" s="33">
        <f>E1019*F1019</f>
        <v>0</v>
      </c>
      <c r="I1019" s="15"/>
      <c r="J1019" s="1"/>
      <c r="K1019" s="1"/>
    </row>
    <row r="1020" spans="1:11" ht="28.5" x14ac:dyDescent="0.25">
      <c r="A1020" s="173" t="s">
        <v>832</v>
      </c>
      <c r="B1020" s="252" t="s">
        <v>9</v>
      </c>
      <c r="C1020" s="17" t="s">
        <v>803</v>
      </c>
      <c r="D1020" s="19" t="s">
        <v>472</v>
      </c>
      <c r="E1020" s="19">
        <v>5</v>
      </c>
      <c r="F1020" s="103"/>
      <c r="G1020" s="58">
        <v>0</v>
      </c>
      <c r="H1020" s="28"/>
      <c r="I1020" s="58">
        <f>E1020*G1020</f>
        <v>0</v>
      </c>
      <c r="J1020" s="1"/>
      <c r="K1020" s="1"/>
    </row>
    <row r="1021" spans="1:11" ht="28.5" x14ac:dyDescent="0.25">
      <c r="A1021" s="173" t="s">
        <v>122</v>
      </c>
      <c r="B1021" s="234" t="s">
        <v>9</v>
      </c>
      <c r="C1021" s="17" t="s">
        <v>211</v>
      </c>
      <c r="D1021" s="19" t="s">
        <v>54</v>
      </c>
      <c r="E1021" s="18">
        <v>1063</v>
      </c>
      <c r="F1021" s="103"/>
      <c r="G1021" s="58">
        <v>0</v>
      </c>
      <c r="H1021" s="28"/>
      <c r="I1021" s="58">
        <f>E1021*G1021</f>
        <v>0</v>
      </c>
      <c r="J1021" s="1"/>
      <c r="K1021" s="1"/>
    </row>
    <row r="1022" spans="1:11" x14ac:dyDescent="0.25">
      <c r="A1022" s="29" t="s">
        <v>123</v>
      </c>
      <c r="B1022" s="220" t="s">
        <v>13</v>
      </c>
      <c r="C1022" s="188" t="s">
        <v>209</v>
      </c>
      <c r="D1022" s="90" t="s">
        <v>54</v>
      </c>
      <c r="E1022" s="12">
        <f>1.1*E1021</f>
        <v>1169.3</v>
      </c>
      <c r="F1022" s="113">
        <v>0</v>
      </c>
      <c r="G1022" s="15"/>
      <c r="H1022" s="33">
        <f>E1022*F1022</f>
        <v>0</v>
      </c>
      <c r="I1022" s="15"/>
      <c r="J1022" s="1"/>
      <c r="K1022" s="1"/>
    </row>
    <row r="1023" spans="1:11" x14ac:dyDescent="0.25">
      <c r="A1023" s="29" t="s">
        <v>124</v>
      </c>
      <c r="B1023" s="220" t="s">
        <v>13</v>
      </c>
      <c r="C1023" s="77" t="s">
        <v>266</v>
      </c>
      <c r="D1023" s="20" t="s">
        <v>38</v>
      </c>
      <c r="E1023" s="12">
        <f>0.7*E1021</f>
        <v>744.1</v>
      </c>
      <c r="F1023" s="113">
        <v>0</v>
      </c>
      <c r="G1023" s="15"/>
      <c r="H1023" s="33">
        <f>E1023*F1023</f>
        <v>0</v>
      </c>
      <c r="I1023" s="15"/>
      <c r="J1023" s="1"/>
      <c r="K1023" s="1"/>
    </row>
    <row r="1024" spans="1:11" x14ac:dyDescent="0.25">
      <c r="A1024" s="173" t="s">
        <v>125</v>
      </c>
      <c r="B1024" s="252" t="s">
        <v>9</v>
      </c>
      <c r="C1024" s="250" t="s">
        <v>202</v>
      </c>
      <c r="D1024" s="88" t="s">
        <v>54</v>
      </c>
      <c r="E1024" s="88">
        <v>7.4</v>
      </c>
      <c r="F1024" s="143"/>
      <c r="G1024" s="65">
        <v>0</v>
      </c>
      <c r="H1024" s="150"/>
      <c r="I1024" s="65">
        <f>E1024*G1024</f>
        <v>0</v>
      </c>
      <c r="J1024" s="1"/>
      <c r="K1024" s="1"/>
    </row>
    <row r="1025" spans="1:11" x14ac:dyDescent="0.25">
      <c r="A1025" s="130" t="s">
        <v>126</v>
      </c>
      <c r="B1025" s="206" t="s">
        <v>13</v>
      </c>
      <c r="C1025" s="188" t="s">
        <v>203</v>
      </c>
      <c r="D1025" s="90" t="s">
        <v>54</v>
      </c>
      <c r="E1025" s="90">
        <v>7.4</v>
      </c>
      <c r="F1025" s="126">
        <v>0</v>
      </c>
      <c r="G1025" s="119"/>
      <c r="H1025" s="62">
        <f>E1025*F1025</f>
        <v>0</v>
      </c>
      <c r="I1025" s="119"/>
      <c r="J1025" s="1"/>
      <c r="K1025" s="1"/>
    </row>
    <row r="1026" spans="1:11" ht="30.75" thickBot="1" x14ac:dyDescent="0.3">
      <c r="A1026" s="129" t="s">
        <v>791</v>
      </c>
      <c r="B1026" s="240" t="s">
        <v>13</v>
      </c>
      <c r="C1026" s="55" t="s">
        <v>204</v>
      </c>
      <c r="D1026" s="94" t="s">
        <v>54</v>
      </c>
      <c r="E1026" s="94">
        <v>7.4</v>
      </c>
      <c r="F1026" s="111">
        <v>0</v>
      </c>
      <c r="G1026" s="44"/>
      <c r="H1026" s="186">
        <f>E1026*F1026</f>
        <v>0</v>
      </c>
      <c r="I1026" s="15"/>
      <c r="J1026" s="1"/>
      <c r="K1026" s="1"/>
    </row>
    <row r="1027" spans="1:11" ht="15.75" thickBot="1" x14ac:dyDescent="0.3">
      <c r="A1027" s="38"/>
      <c r="B1027" s="235"/>
      <c r="C1027" s="5" t="s">
        <v>44</v>
      </c>
      <c r="D1027" s="40"/>
      <c r="E1027" s="41"/>
      <c r="F1027" s="6"/>
      <c r="G1027" s="9"/>
      <c r="H1027" s="96">
        <f>SUM(H953:H1026)</f>
        <v>0</v>
      </c>
      <c r="I1027" s="42">
        <f>SUM(I952:I1026)</f>
        <v>0</v>
      </c>
      <c r="J1027" s="1"/>
      <c r="K1027" s="1"/>
    </row>
    <row r="1028" spans="1:11" ht="15.75" thickBot="1" x14ac:dyDescent="0.3">
      <c r="A1028" s="45"/>
      <c r="B1028" s="242"/>
      <c r="C1028" s="47" t="s">
        <v>653</v>
      </c>
      <c r="D1028" s="48"/>
      <c r="E1028" s="49"/>
      <c r="F1028" s="121"/>
      <c r="G1028" s="52"/>
      <c r="H1028" s="99"/>
      <c r="I1028" s="52"/>
      <c r="J1028" s="1"/>
      <c r="K1028" s="1"/>
    </row>
    <row r="1029" spans="1:11" x14ac:dyDescent="0.25">
      <c r="A1029" s="257" t="s">
        <v>127</v>
      </c>
      <c r="B1029" s="258" t="s">
        <v>9</v>
      </c>
      <c r="C1029" s="149" t="s">
        <v>20</v>
      </c>
      <c r="D1029" s="139" t="s">
        <v>14</v>
      </c>
      <c r="E1029" s="139">
        <v>29</v>
      </c>
      <c r="F1029" s="143"/>
      <c r="G1029" s="146">
        <v>0</v>
      </c>
      <c r="H1029" s="143"/>
      <c r="I1029" s="65">
        <f>E1029*G1029</f>
        <v>0</v>
      </c>
      <c r="J1029" s="1"/>
      <c r="K1029" s="1"/>
    </row>
    <row r="1030" spans="1:11" ht="30" x14ac:dyDescent="0.25">
      <c r="A1030" s="93" t="s">
        <v>128</v>
      </c>
      <c r="B1030" s="247" t="s">
        <v>13</v>
      </c>
      <c r="C1030" s="124" t="s">
        <v>205</v>
      </c>
      <c r="D1030" s="12" t="s">
        <v>14</v>
      </c>
      <c r="E1030" s="12">
        <v>29</v>
      </c>
      <c r="F1030" s="33">
        <v>0</v>
      </c>
      <c r="G1030" s="102"/>
      <c r="H1030" s="113">
        <f>E1030*F1030</f>
        <v>0</v>
      </c>
      <c r="I1030" s="15"/>
      <c r="J1030" s="1"/>
      <c r="K1030" s="1"/>
    </row>
    <row r="1031" spans="1:11" x14ac:dyDescent="0.25">
      <c r="A1031" s="93" t="s">
        <v>792</v>
      </c>
      <c r="B1031" s="247" t="s">
        <v>13</v>
      </c>
      <c r="C1031" s="73" t="s">
        <v>206</v>
      </c>
      <c r="D1031" s="12" t="s">
        <v>14</v>
      </c>
      <c r="E1031" s="12">
        <v>29</v>
      </c>
      <c r="F1031" s="33">
        <v>0</v>
      </c>
      <c r="G1031" s="102"/>
      <c r="H1031" s="113">
        <f>E1031*F1031</f>
        <v>0</v>
      </c>
      <c r="I1031" s="15"/>
      <c r="J1031" s="1"/>
      <c r="K1031" s="1"/>
    </row>
    <row r="1032" spans="1:11" ht="42.75" x14ac:dyDescent="0.25">
      <c r="A1032" s="95" t="s">
        <v>129</v>
      </c>
      <c r="B1032" s="259" t="s">
        <v>9</v>
      </c>
      <c r="C1032" s="74" t="s">
        <v>53</v>
      </c>
      <c r="D1032" s="18" t="s">
        <v>54</v>
      </c>
      <c r="E1032" s="18">
        <v>34.69</v>
      </c>
      <c r="F1032" s="28"/>
      <c r="G1032" s="117">
        <v>0</v>
      </c>
      <c r="H1032" s="103"/>
      <c r="I1032" s="58">
        <f>E1032*G1032</f>
        <v>0</v>
      </c>
      <c r="J1032" s="1"/>
      <c r="K1032" s="1"/>
    </row>
    <row r="1033" spans="1:11" x14ac:dyDescent="0.25">
      <c r="A1033" s="29" t="s">
        <v>130</v>
      </c>
      <c r="B1033" s="205" t="s">
        <v>13</v>
      </c>
      <c r="C1033" s="70" t="s">
        <v>55</v>
      </c>
      <c r="D1033" s="71" t="s">
        <v>38</v>
      </c>
      <c r="E1033" s="72">
        <f>0.606*E1032</f>
        <v>21.02</v>
      </c>
      <c r="F1033" s="33">
        <v>0</v>
      </c>
      <c r="G1033" s="15"/>
      <c r="H1033" s="33">
        <f t="shared" ref="H1033:H1037" si="88">E1033*F1033</f>
        <v>0</v>
      </c>
      <c r="I1033" s="15"/>
      <c r="J1033" s="1"/>
      <c r="K1033" s="1"/>
    </row>
    <row r="1034" spans="1:11" ht="30" x14ac:dyDescent="0.25">
      <c r="A1034" s="93" t="s">
        <v>144</v>
      </c>
      <c r="B1034" s="247" t="s">
        <v>13</v>
      </c>
      <c r="C1034" s="124" t="s">
        <v>207</v>
      </c>
      <c r="D1034" s="12" t="s">
        <v>58</v>
      </c>
      <c r="E1034" s="12">
        <v>30</v>
      </c>
      <c r="F1034" s="33">
        <v>0</v>
      </c>
      <c r="G1034" s="102"/>
      <c r="H1034" s="113">
        <f t="shared" si="88"/>
        <v>0</v>
      </c>
      <c r="I1034" s="15"/>
      <c r="J1034" s="1"/>
      <c r="K1034" s="1">
        <v>9.42</v>
      </c>
    </row>
    <row r="1035" spans="1:11" ht="30" x14ac:dyDescent="0.25">
      <c r="A1035" s="29" t="s">
        <v>145</v>
      </c>
      <c r="B1035" s="247" t="s">
        <v>13</v>
      </c>
      <c r="C1035" s="124" t="s">
        <v>208</v>
      </c>
      <c r="D1035" s="12" t="s">
        <v>58</v>
      </c>
      <c r="E1035" s="12">
        <v>57.9</v>
      </c>
      <c r="F1035" s="33">
        <v>0</v>
      </c>
      <c r="G1035" s="102"/>
      <c r="H1035" s="113">
        <f t="shared" si="88"/>
        <v>0</v>
      </c>
      <c r="I1035" s="15"/>
      <c r="J1035" s="1"/>
      <c r="K1035" s="1">
        <v>18.190000000000001</v>
      </c>
    </row>
    <row r="1036" spans="1:11" x14ac:dyDescent="0.25">
      <c r="A1036" s="93" t="s">
        <v>146</v>
      </c>
      <c r="B1036" s="247" t="s">
        <v>13</v>
      </c>
      <c r="C1036" s="124" t="s">
        <v>442</v>
      </c>
      <c r="D1036" s="12" t="s">
        <v>14</v>
      </c>
      <c r="E1036" s="12">
        <v>40</v>
      </c>
      <c r="F1036" s="33">
        <v>0</v>
      </c>
      <c r="G1036" s="102"/>
      <c r="H1036" s="113">
        <f t="shared" si="88"/>
        <v>0</v>
      </c>
      <c r="I1036" s="15"/>
      <c r="J1036" s="1"/>
      <c r="K1036" s="1">
        <f>0.1*E1036</f>
        <v>4</v>
      </c>
    </row>
    <row r="1037" spans="1:11" x14ac:dyDescent="0.25">
      <c r="A1037" s="29" t="s">
        <v>147</v>
      </c>
      <c r="B1037" s="247" t="s">
        <v>13</v>
      </c>
      <c r="C1037" s="124" t="s">
        <v>441</v>
      </c>
      <c r="D1037" s="12" t="s">
        <v>14</v>
      </c>
      <c r="E1037" s="12">
        <v>29</v>
      </c>
      <c r="F1037" s="33">
        <v>0</v>
      </c>
      <c r="G1037" s="102"/>
      <c r="H1037" s="113">
        <f t="shared" si="88"/>
        <v>0</v>
      </c>
      <c r="I1037" s="15"/>
      <c r="J1037" s="1"/>
      <c r="K1037" s="1">
        <f>0.1*E1037</f>
        <v>2.9</v>
      </c>
    </row>
    <row r="1038" spans="1:11" ht="28.5" x14ac:dyDescent="0.25">
      <c r="A1038" s="95" t="s">
        <v>793</v>
      </c>
      <c r="B1038" s="259" t="s">
        <v>9</v>
      </c>
      <c r="C1038" s="17" t="s">
        <v>211</v>
      </c>
      <c r="D1038" s="19" t="s">
        <v>54</v>
      </c>
      <c r="E1038" s="18">
        <v>20.3</v>
      </c>
      <c r="F1038" s="28"/>
      <c r="G1038" s="117">
        <v>0</v>
      </c>
      <c r="H1038" s="103"/>
      <c r="I1038" s="58">
        <f>E1038*G1038</f>
        <v>0</v>
      </c>
      <c r="J1038" s="1"/>
      <c r="K1038" s="1"/>
    </row>
    <row r="1039" spans="1:11" x14ac:dyDescent="0.25">
      <c r="A1039" s="93" t="s">
        <v>131</v>
      </c>
      <c r="B1039" s="247" t="s">
        <v>13</v>
      </c>
      <c r="C1039" s="188" t="s">
        <v>209</v>
      </c>
      <c r="D1039" s="90" t="s">
        <v>54</v>
      </c>
      <c r="E1039" s="12">
        <f>1.1*E1038</f>
        <v>22.33</v>
      </c>
      <c r="F1039" s="33">
        <v>0</v>
      </c>
      <c r="G1039" s="102"/>
      <c r="H1039" s="113">
        <f>E1039*F1039</f>
        <v>0</v>
      </c>
      <c r="I1039" s="15"/>
      <c r="J1039" s="1"/>
      <c r="K1039" s="1"/>
    </row>
    <row r="1040" spans="1:11" ht="15.75" thickBot="1" x14ac:dyDescent="0.3">
      <c r="A1040" s="131" t="s">
        <v>132</v>
      </c>
      <c r="B1040" s="248" t="s">
        <v>13</v>
      </c>
      <c r="C1040" s="55" t="s">
        <v>210</v>
      </c>
      <c r="D1040" s="94" t="s">
        <v>38</v>
      </c>
      <c r="E1040" s="141">
        <f>0.7*E1038</f>
        <v>14.21</v>
      </c>
      <c r="F1040" s="186">
        <v>0</v>
      </c>
      <c r="G1040" s="114"/>
      <c r="H1040" s="120">
        <f>E1040*F1040</f>
        <v>0</v>
      </c>
      <c r="I1040" s="127"/>
      <c r="J1040" s="1"/>
      <c r="K1040" s="1"/>
    </row>
    <row r="1041" spans="1:11" ht="15.75" thickBot="1" x14ac:dyDescent="0.3">
      <c r="A1041" s="45"/>
      <c r="B1041" s="244"/>
      <c r="C1041" s="278" t="s">
        <v>417</v>
      </c>
      <c r="D1041" s="48"/>
      <c r="E1041" s="48"/>
      <c r="F1041" s="99"/>
      <c r="G1041" s="109"/>
      <c r="H1041" s="121">
        <f>SUM(H1029:H1040)</f>
        <v>0</v>
      </c>
      <c r="I1041" s="86">
        <f>SUM(I1029:I1040)</f>
        <v>0</v>
      </c>
      <c r="J1041" s="1"/>
      <c r="K1041" s="1"/>
    </row>
    <row r="1042" spans="1:11" ht="15.75" thickBot="1" x14ac:dyDescent="0.3">
      <c r="A1042" s="181"/>
      <c r="B1042" s="243"/>
      <c r="C1042" s="290" t="s">
        <v>45</v>
      </c>
      <c r="D1042" s="176"/>
      <c r="E1042" s="176"/>
      <c r="F1042" s="289"/>
      <c r="G1042" s="154"/>
      <c r="H1042" s="273">
        <f>H871+H950+H1027+H1041</f>
        <v>0</v>
      </c>
      <c r="I1042" s="274">
        <f>I871+I950+I1027+I1041</f>
        <v>0</v>
      </c>
      <c r="J1042" s="1"/>
      <c r="K1042" s="1"/>
    </row>
    <row r="1043" spans="1:11" ht="15.75" thickBot="1" x14ac:dyDescent="0.3">
      <c r="A1043" s="181"/>
      <c r="B1043" s="243"/>
      <c r="C1043" s="290" t="s">
        <v>716</v>
      </c>
      <c r="D1043" s="176"/>
      <c r="E1043" s="176"/>
      <c r="F1043" s="289"/>
      <c r="G1043" s="154"/>
      <c r="H1043" s="273"/>
      <c r="I1043" s="274">
        <f>H1042+I1042</f>
        <v>0</v>
      </c>
      <c r="J1043" s="1"/>
      <c r="K1043" s="1"/>
    </row>
    <row r="1044" spans="1:11" ht="15.75" thickBot="1" x14ac:dyDescent="0.3">
      <c r="A1044" s="45"/>
      <c r="B1044" s="46" t="s">
        <v>844</v>
      </c>
      <c r="C1044" s="145" t="s">
        <v>715</v>
      </c>
      <c r="D1044" s="48"/>
      <c r="E1044" s="48"/>
      <c r="F1044" s="99"/>
      <c r="G1044" s="109"/>
      <c r="H1044" s="121"/>
      <c r="I1044" s="52"/>
    </row>
    <row r="1045" spans="1:11" ht="15.75" thickBot="1" x14ac:dyDescent="0.3">
      <c r="A1045" s="45"/>
      <c r="B1045" s="244"/>
      <c r="C1045" s="145" t="s">
        <v>717</v>
      </c>
      <c r="D1045" s="48"/>
      <c r="E1045" s="48"/>
      <c r="F1045" s="99"/>
      <c r="G1045" s="109"/>
      <c r="H1045" s="121"/>
      <c r="I1045" s="52"/>
    </row>
    <row r="1046" spans="1:11" ht="42.75" x14ac:dyDescent="0.25">
      <c r="A1046" s="139">
        <v>1</v>
      </c>
      <c r="B1046" s="210" t="s">
        <v>9</v>
      </c>
      <c r="C1046" s="74" t="s">
        <v>217</v>
      </c>
      <c r="D1046" s="88" t="s">
        <v>54</v>
      </c>
      <c r="E1046" s="88">
        <f>0.33*2</f>
        <v>0.66</v>
      </c>
      <c r="F1046" s="150"/>
      <c r="G1046" s="65">
        <v>0</v>
      </c>
      <c r="H1046" s="150"/>
      <c r="I1046" s="65">
        <f>E1046*G1046</f>
        <v>0</v>
      </c>
    </row>
    <row r="1047" spans="1:11" x14ac:dyDescent="0.25">
      <c r="A1047" s="10" t="s">
        <v>12</v>
      </c>
      <c r="B1047" s="211" t="s">
        <v>13</v>
      </c>
      <c r="C1047" s="11" t="s">
        <v>55</v>
      </c>
      <c r="D1047" s="20" t="s">
        <v>38</v>
      </c>
      <c r="E1047" s="76">
        <f>1.22*E1046</f>
        <v>0.81</v>
      </c>
      <c r="F1047" s="33">
        <v>0</v>
      </c>
      <c r="G1047" s="15"/>
      <c r="H1047" s="33">
        <f t="shared" ref="H1047:H1048" si="89">E1047*F1047</f>
        <v>0</v>
      </c>
      <c r="I1047" s="15"/>
    </row>
    <row r="1048" spans="1:11" x14ac:dyDescent="0.25">
      <c r="A1048" s="29" t="s">
        <v>15</v>
      </c>
      <c r="B1048" s="205" t="s">
        <v>13</v>
      </c>
      <c r="C1048" s="11" t="s">
        <v>216</v>
      </c>
      <c r="D1048" s="20" t="s">
        <v>58</v>
      </c>
      <c r="E1048" s="20">
        <v>0.6</v>
      </c>
      <c r="F1048" s="33">
        <v>0</v>
      </c>
      <c r="G1048" s="15"/>
      <c r="H1048" s="33">
        <f t="shared" si="89"/>
        <v>0</v>
      </c>
      <c r="I1048" s="15"/>
    </row>
    <row r="1049" spans="1:11" ht="28.5" x14ac:dyDescent="0.25">
      <c r="A1049" s="16" t="s">
        <v>16</v>
      </c>
      <c r="B1049" s="212" t="s">
        <v>9</v>
      </c>
      <c r="C1049" s="295" t="s">
        <v>67</v>
      </c>
      <c r="D1049" s="18" t="s">
        <v>14</v>
      </c>
      <c r="E1049" s="293">
        <v>2</v>
      </c>
      <c r="F1049" s="13"/>
      <c r="G1049" s="117">
        <v>0</v>
      </c>
      <c r="H1049" s="103"/>
      <c r="I1049" s="58">
        <f>E1049*G1049</f>
        <v>0</v>
      </c>
    </row>
    <row r="1050" spans="1:11" x14ac:dyDescent="0.25">
      <c r="A1050" s="29" t="s">
        <v>17</v>
      </c>
      <c r="B1050" s="211" t="s">
        <v>13</v>
      </c>
      <c r="C1050" s="70" t="s">
        <v>218</v>
      </c>
      <c r="D1050" s="12" t="s">
        <v>14</v>
      </c>
      <c r="E1050" s="12">
        <v>2</v>
      </c>
      <c r="F1050" s="14">
        <v>0</v>
      </c>
      <c r="G1050" s="102"/>
      <c r="H1050" s="113">
        <f>E1050*F1050</f>
        <v>0</v>
      </c>
      <c r="I1050" s="15"/>
    </row>
    <row r="1051" spans="1:11" ht="28.5" x14ac:dyDescent="0.25">
      <c r="A1051" s="16" t="s">
        <v>19</v>
      </c>
      <c r="B1051" s="212" t="s">
        <v>9</v>
      </c>
      <c r="C1051" s="295" t="s">
        <v>562</v>
      </c>
      <c r="D1051" s="18" t="s">
        <v>14</v>
      </c>
      <c r="E1051" s="293">
        <v>2</v>
      </c>
      <c r="F1051" s="13"/>
      <c r="G1051" s="117">
        <v>0</v>
      </c>
      <c r="H1051" s="103"/>
      <c r="I1051" s="58">
        <f>E1051*G1051</f>
        <v>0</v>
      </c>
    </row>
    <row r="1052" spans="1:11" ht="30" x14ac:dyDescent="0.25">
      <c r="A1052" s="10" t="s">
        <v>21</v>
      </c>
      <c r="B1052" s="211" t="s">
        <v>13</v>
      </c>
      <c r="C1052" s="70" t="s">
        <v>219</v>
      </c>
      <c r="D1052" s="12" t="s">
        <v>14</v>
      </c>
      <c r="E1052" s="12">
        <v>2</v>
      </c>
      <c r="F1052" s="14">
        <v>0</v>
      </c>
      <c r="G1052" s="102"/>
      <c r="H1052" s="113">
        <f>E1052*F1052</f>
        <v>0</v>
      </c>
      <c r="I1052" s="15"/>
    </row>
    <row r="1053" spans="1:11" ht="42.75" x14ac:dyDescent="0.25">
      <c r="A1053" s="173" t="s">
        <v>23</v>
      </c>
      <c r="B1053" s="252" t="s">
        <v>9</v>
      </c>
      <c r="C1053" s="179" t="s">
        <v>317</v>
      </c>
      <c r="D1053" s="88" t="s">
        <v>54</v>
      </c>
      <c r="E1053" s="88">
        <v>0.18</v>
      </c>
      <c r="F1053" s="150"/>
      <c r="G1053" s="65">
        <v>0</v>
      </c>
      <c r="H1053" s="150"/>
      <c r="I1053" s="65">
        <f>E1053*G1053</f>
        <v>0</v>
      </c>
    </row>
    <row r="1054" spans="1:11" x14ac:dyDescent="0.25">
      <c r="A1054" s="29" t="s">
        <v>24</v>
      </c>
      <c r="B1054" s="205" t="s">
        <v>13</v>
      </c>
      <c r="C1054" s="180" t="s">
        <v>165</v>
      </c>
      <c r="D1054" s="20" t="s">
        <v>38</v>
      </c>
      <c r="E1054" s="76">
        <f>0.712*E1053</f>
        <v>0.13</v>
      </c>
      <c r="F1054" s="33">
        <v>0</v>
      </c>
      <c r="G1054" s="15"/>
      <c r="H1054" s="33">
        <f t="shared" ref="H1054:H1056" si="90">E1054*F1054</f>
        <v>0</v>
      </c>
      <c r="I1054" s="15"/>
    </row>
    <row r="1055" spans="1:11" x14ac:dyDescent="0.25">
      <c r="A1055" s="29" t="s">
        <v>60</v>
      </c>
      <c r="B1055" s="205" t="s">
        <v>13</v>
      </c>
      <c r="C1055" s="180" t="s">
        <v>318</v>
      </c>
      <c r="D1055" s="20" t="s">
        <v>58</v>
      </c>
      <c r="E1055" s="20">
        <v>0.2</v>
      </c>
      <c r="F1055" s="33">
        <v>0</v>
      </c>
      <c r="G1055" s="15"/>
      <c r="H1055" s="33">
        <f t="shared" si="90"/>
        <v>0</v>
      </c>
      <c r="I1055" s="15"/>
      <c r="K1055" s="115">
        <f>0.9*E1055</f>
        <v>0.18</v>
      </c>
    </row>
    <row r="1056" spans="1:11" x14ac:dyDescent="0.25">
      <c r="A1056" s="112" t="s">
        <v>138</v>
      </c>
      <c r="B1056" s="205" t="s">
        <v>13</v>
      </c>
      <c r="C1056" s="122" t="s">
        <v>319</v>
      </c>
      <c r="D1056" s="90" t="s">
        <v>54</v>
      </c>
      <c r="E1056" s="90">
        <v>0.1</v>
      </c>
      <c r="F1056" s="33">
        <v>0</v>
      </c>
      <c r="G1056" s="102"/>
      <c r="H1056" s="113">
        <f t="shared" si="90"/>
        <v>0</v>
      </c>
      <c r="I1056" s="15"/>
    </row>
    <row r="1057" spans="1:11" ht="28.5" x14ac:dyDescent="0.25">
      <c r="A1057" s="26" t="s">
        <v>51</v>
      </c>
      <c r="B1057" s="228" t="s">
        <v>189</v>
      </c>
      <c r="C1057" s="17" t="s">
        <v>48</v>
      </c>
      <c r="D1057" s="19" t="s">
        <v>14</v>
      </c>
      <c r="E1057" s="19">
        <v>3</v>
      </c>
      <c r="F1057" s="28"/>
      <c r="G1057" s="58">
        <v>0</v>
      </c>
      <c r="H1057" s="28"/>
      <c r="I1057" s="58">
        <f>E1057*G1057</f>
        <v>0</v>
      </c>
    </row>
    <row r="1058" spans="1:11" ht="30" x14ac:dyDescent="0.25">
      <c r="A1058" s="29" t="s">
        <v>26</v>
      </c>
      <c r="B1058" s="205" t="s">
        <v>13</v>
      </c>
      <c r="C1058" s="11" t="s">
        <v>620</v>
      </c>
      <c r="D1058" s="20" t="s">
        <v>14</v>
      </c>
      <c r="E1058" s="175">
        <v>1</v>
      </c>
      <c r="F1058" s="33">
        <v>0</v>
      </c>
      <c r="G1058" s="15"/>
      <c r="H1058" s="33">
        <f>E1058*F1058</f>
        <v>0</v>
      </c>
      <c r="I1058" s="15"/>
    </row>
    <row r="1059" spans="1:11" ht="30" x14ac:dyDescent="0.25">
      <c r="A1059" s="112" t="s">
        <v>27</v>
      </c>
      <c r="B1059" s="205" t="s">
        <v>13</v>
      </c>
      <c r="C1059" s="122" t="s">
        <v>321</v>
      </c>
      <c r="D1059" s="90" t="s">
        <v>14</v>
      </c>
      <c r="E1059" s="90">
        <v>2</v>
      </c>
      <c r="F1059" s="33">
        <v>0</v>
      </c>
      <c r="G1059" s="102"/>
      <c r="H1059" s="113">
        <f>E1059*F1059</f>
        <v>0</v>
      </c>
      <c r="I1059" s="15"/>
    </row>
    <row r="1060" spans="1:11" ht="42.75" x14ac:dyDescent="0.25">
      <c r="A1060" s="100" t="s">
        <v>29</v>
      </c>
      <c r="B1060" s="245" t="s">
        <v>9</v>
      </c>
      <c r="C1060" s="183" t="s">
        <v>61</v>
      </c>
      <c r="D1060" s="88" t="s">
        <v>54</v>
      </c>
      <c r="E1060" s="88">
        <v>0.42</v>
      </c>
      <c r="F1060" s="28"/>
      <c r="G1060" s="117">
        <v>0</v>
      </c>
      <c r="H1060" s="103"/>
      <c r="I1060" s="58">
        <f>E1060*G1060</f>
        <v>0</v>
      </c>
    </row>
    <row r="1061" spans="1:11" x14ac:dyDescent="0.25">
      <c r="A1061" s="112" t="s">
        <v>31</v>
      </c>
      <c r="B1061" s="246" t="s">
        <v>13</v>
      </c>
      <c r="C1061" s="122" t="s">
        <v>165</v>
      </c>
      <c r="D1061" s="90" t="s">
        <v>38</v>
      </c>
      <c r="E1061" s="184">
        <f>0.712*E1060</f>
        <v>0.3</v>
      </c>
      <c r="F1061" s="33">
        <v>0</v>
      </c>
      <c r="G1061" s="102"/>
      <c r="H1061" s="113">
        <f>E1061*F1061</f>
        <v>0</v>
      </c>
      <c r="I1061" s="15"/>
    </row>
    <row r="1062" spans="1:11" ht="30" x14ac:dyDescent="0.25">
      <c r="A1062" s="112" t="s">
        <v>63</v>
      </c>
      <c r="B1062" s="246" t="s">
        <v>13</v>
      </c>
      <c r="C1062" s="122" t="s">
        <v>322</v>
      </c>
      <c r="D1062" s="90" t="s">
        <v>58</v>
      </c>
      <c r="E1062" s="90">
        <v>0.7</v>
      </c>
      <c r="F1062" s="33">
        <v>0</v>
      </c>
      <c r="G1062" s="102"/>
      <c r="H1062" s="113">
        <f>E1062*F1062</f>
        <v>0</v>
      </c>
      <c r="I1062" s="15"/>
      <c r="K1062" s="115">
        <f>0.6*E1062</f>
        <v>0.42</v>
      </c>
    </row>
    <row r="1063" spans="1:11" ht="28.5" x14ac:dyDescent="0.25">
      <c r="A1063" s="100" t="s">
        <v>32</v>
      </c>
      <c r="B1063" s="245" t="s">
        <v>9</v>
      </c>
      <c r="C1063" s="183" t="s">
        <v>137</v>
      </c>
      <c r="D1063" s="88" t="s">
        <v>14</v>
      </c>
      <c r="E1063" s="88">
        <v>3</v>
      </c>
      <c r="F1063" s="28"/>
      <c r="G1063" s="117">
        <v>0</v>
      </c>
      <c r="H1063" s="103"/>
      <c r="I1063" s="58">
        <f>E1063*G1063</f>
        <v>0</v>
      </c>
    </row>
    <row r="1064" spans="1:11" ht="30" x14ac:dyDescent="0.25">
      <c r="A1064" s="112" t="s">
        <v>33</v>
      </c>
      <c r="B1064" s="246" t="s">
        <v>13</v>
      </c>
      <c r="C1064" s="122" t="s">
        <v>323</v>
      </c>
      <c r="D1064" s="90" t="s">
        <v>14</v>
      </c>
      <c r="E1064" s="90">
        <v>2</v>
      </c>
      <c r="F1064" s="33">
        <v>0</v>
      </c>
      <c r="G1064" s="102"/>
      <c r="H1064" s="113">
        <f>E1064*F1064</f>
        <v>0</v>
      </c>
      <c r="I1064" s="15"/>
    </row>
    <row r="1065" spans="1:11" ht="30.75" thickBot="1" x14ac:dyDescent="0.3">
      <c r="A1065" s="376" t="s">
        <v>34</v>
      </c>
      <c r="B1065" s="377" t="s">
        <v>13</v>
      </c>
      <c r="C1065" s="122" t="s">
        <v>320</v>
      </c>
      <c r="D1065" s="92" t="s">
        <v>14</v>
      </c>
      <c r="E1065" s="92">
        <v>1</v>
      </c>
      <c r="F1065" s="186">
        <v>0</v>
      </c>
      <c r="G1065" s="114"/>
      <c r="H1065" s="120">
        <f>E1065*F1065</f>
        <v>0</v>
      </c>
      <c r="I1065" s="127"/>
    </row>
    <row r="1066" spans="1:11" ht="15.75" thickBot="1" x14ac:dyDescent="0.3">
      <c r="A1066" s="45"/>
      <c r="B1066" s="244"/>
      <c r="C1066" s="278" t="s">
        <v>417</v>
      </c>
      <c r="D1066" s="48"/>
      <c r="E1066" s="48"/>
      <c r="F1066" s="132"/>
      <c r="G1066" s="109"/>
      <c r="H1066" s="121">
        <f>SUM(H1047:H1065)</f>
        <v>0</v>
      </c>
      <c r="I1066" s="86">
        <f>SUM(I1046:I1065)</f>
        <v>0</v>
      </c>
    </row>
    <row r="1067" spans="1:11" ht="15.75" thickBot="1" x14ac:dyDescent="0.3">
      <c r="A1067" s="45"/>
      <c r="B1067" s="244"/>
      <c r="C1067" s="145" t="s">
        <v>718</v>
      </c>
      <c r="D1067" s="48"/>
      <c r="E1067" s="48"/>
      <c r="F1067" s="99"/>
      <c r="G1067" s="109"/>
      <c r="H1067" s="121"/>
      <c r="I1067" s="52"/>
    </row>
    <row r="1068" spans="1:11" ht="42.75" x14ac:dyDescent="0.25">
      <c r="A1068" s="100" t="s">
        <v>36</v>
      </c>
      <c r="B1068" s="210" t="s">
        <v>9</v>
      </c>
      <c r="C1068" s="74" t="s">
        <v>53</v>
      </c>
      <c r="D1068" s="18" t="s">
        <v>54</v>
      </c>
      <c r="E1068" s="18">
        <v>1.18</v>
      </c>
      <c r="F1068" s="28"/>
      <c r="G1068" s="117">
        <v>0</v>
      </c>
      <c r="H1068" s="103"/>
      <c r="I1068" s="58">
        <f>E1068*G1068</f>
        <v>0</v>
      </c>
    </row>
    <row r="1069" spans="1:11" x14ac:dyDescent="0.25">
      <c r="A1069" s="10" t="s">
        <v>37</v>
      </c>
      <c r="B1069" s="211" t="s">
        <v>13</v>
      </c>
      <c r="C1069" s="70" t="s">
        <v>55</v>
      </c>
      <c r="D1069" s="71" t="s">
        <v>38</v>
      </c>
      <c r="E1069" s="72">
        <f>0.606*E1068</f>
        <v>0.72</v>
      </c>
      <c r="F1069" s="33">
        <v>0</v>
      </c>
      <c r="G1069" s="15"/>
      <c r="H1069" s="33">
        <f t="shared" ref="H1069:H1070" si="91">E1069*F1069</f>
        <v>0</v>
      </c>
      <c r="I1069" s="15"/>
    </row>
    <row r="1070" spans="1:11" ht="30" x14ac:dyDescent="0.25">
      <c r="A1070" s="10" t="s">
        <v>233</v>
      </c>
      <c r="B1070" s="211" t="s">
        <v>13</v>
      </c>
      <c r="C1070" s="124" t="s">
        <v>324</v>
      </c>
      <c r="D1070" s="12" t="s">
        <v>58</v>
      </c>
      <c r="E1070" s="12">
        <v>3</v>
      </c>
      <c r="F1070" s="33">
        <v>0</v>
      </c>
      <c r="G1070" s="102"/>
      <c r="H1070" s="113">
        <f t="shared" si="91"/>
        <v>0</v>
      </c>
      <c r="I1070" s="15"/>
    </row>
    <row r="1071" spans="1:11" ht="28.5" x14ac:dyDescent="0.25">
      <c r="A1071" s="16" t="s">
        <v>39</v>
      </c>
      <c r="B1071" s="215" t="s">
        <v>9</v>
      </c>
      <c r="C1071" s="17" t="s">
        <v>222</v>
      </c>
      <c r="D1071" s="18" t="s">
        <v>14</v>
      </c>
      <c r="E1071" s="18">
        <v>1</v>
      </c>
      <c r="F1071" s="13"/>
      <c r="G1071" s="117">
        <v>0</v>
      </c>
      <c r="H1071" s="103"/>
      <c r="I1071" s="58">
        <f>E1071*G1071</f>
        <v>0</v>
      </c>
    </row>
    <row r="1072" spans="1:11" x14ac:dyDescent="0.25">
      <c r="A1072" s="10" t="s">
        <v>40</v>
      </c>
      <c r="B1072" s="211" t="s">
        <v>13</v>
      </c>
      <c r="C1072" s="11" t="s">
        <v>223</v>
      </c>
      <c r="D1072" s="12" t="s">
        <v>14</v>
      </c>
      <c r="E1072" s="12">
        <v>1</v>
      </c>
      <c r="F1072" s="14">
        <v>0</v>
      </c>
      <c r="G1072" s="102"/>
      <c r="H1072" s="113">
        <f>E1072*F1072</f>
        <v>0</v>
      </c>
      <c r="I1072" s="15"/>
    </row>
    <row r="1073" spans="1:11" x14ac:dyDescent="0.25">
      <c r="A1073" s="10" t="s">
        <v>41</v>
      </c>
      <c r="B1073" s="211" t="s">
        <v>13</v>
      </c>
      <c r="C1073" s="11" t="s">
        <v>224</v>
      </c>
      <c r="D1073" s="12" t="s">
        <v>14</v>
      </c>
      <c r="E1073" s="12">
        <v>1</v>
      </c>
      <c r="F1073" s="14">
        <v>0</v>
      </c>
      <c r="G1073" s="102"/>
      <c r="H1073" s="113">
        <f>E1073*F1073</f>
        <v>0</v>
      </c>
      <c r="I1073" s="15"/>
    </row>
    <row r="1074" spans="1:11" ht="28.5" x14ac:dyDescent="0.25">
      <c r="A1074" s="16" t="s">
        <v>242</v>
      </c>
      <c r="B1074" s="215" t="s">
        <v>9</v>
      </c>
      <c r="C1074" s="17" t="s">
        <v>225</v>
      </c>
      <c r="D1074" s="18" t="s">
        <v>54</v>
      </c>
      <c r="E1074" s="18">
        <v>1.6</v>
      </c>
      <c r="F1074" s="13"/>
      <c r="G1074" s="117">
        <v>0</v>
      </c>
      <c r="H1074" s="103"/>
      <c r="I1074" s="58">
        <f>E1074*G1074</f>
        <v>0</v>
      </c>
    </row>
    <row r="1075" spans="1:11" ht="15.75" thickBot="1" x14ac:dyDescent="0.3">
      <c r="A1075" s="54" t="s">
        <v>42</v>
      </c>
      <c r="B1075" s="213" t="s">
        <v>13</v>
      </c>
      <c r="C1075" s="55" t="s">
        <v>203</v>
      </c>
      <c r="D1075" s="141" t="s">
        <v>54</v>
      </c>
      <c r="E1075" s="141">
        <v>1.6</v>
      </c>
      <c r="F1075" s="142">
        <v>0</v>
      </c>
      <c r="G1075" s="114"/>
      <c r="H1075" s="120">
        <f>E1075*F1075</f>
        <v>0</v>
      </c>
      <c r="I1075" s="127"/>
    </row>
    <row r="1076" spans="1:11" ht="15.75" thickBot="1" x14ac:dyDescent="0.3">
      <c r="A1076" s="45"/>
      <c r="B1076" s="216"/>
      <c r="C1076" s="268" t="s">
        <v>417</v>
      </c>
      <c r="D1076" s="48"/>
      <c r="E1076" s="48"/>
      <c r="F1076" s="132"/>
      <c r="G1076" s="109"/>
      <c r="H1076" s="121">
        <f>SUM(H1069:H1075)</f>
        <v>0</v>
      </c>
      <c r="I1076" s="86">
        <f>SUM(I1068:I1075)</f>
        <v>0</v>
      </c>
    </row>
    <row r="1077" spans="1:11" ht="15.75" thickBot="1" x14ac:dyDescent="0.3">
      <c r="A1077" s="45"/>
      <c r="B1077" s="244"/>
      <c r="C1077" s="145" t="s">
        <v>719</v>
      </c>
      <c r="D1077" s="48"/>
      <c r="E1077" s="48"/>
      <c r="F1077" s="99"/>
      <c r="G1077" s="109"/>
      <c r="H1077" s="121"/>
      <c r="I1077" s="52"/>
    </row>
    <row r="1078" spans="1:11" ht="42.75" x14ac:dyDescent="0.25">
      <c r="A1078" s="100" t="s">
        <v>69</v>
      </c>
      <c r="B1078" s="245" t="s">
        <v>9</v>
      </c>
      <c r="C1078" s="183" t="s">
        <v>61</v>
      </c>
      <c r="D1078" s="88" t="s">
        <v>54</v>
      </c>
      <c r="E1078" s="88">
        <v>0.48</v>
      </c>
      <c r="F1078" s="6"/>
      <c r="G1078" s="42">
        <v>0</v>
      </c>
      <c r="H1078" s="28"/>
      <c r="I1078" s="58">
        <f>E1078*G1078</f>
        <v>0</v>
      </c>
    </row>
    <row r="1079" spans="1:11" x14ac:dyDescent="0.25">
      <c r="A1079" s="112" t="s">
        <v>70</v>
      </c>
      <c r="B1079" s="246" t="s">
        <v>13</v>
      </c>
      <c r="C1079" s="122" t="s">
        <v>165</v>
      </c>
      <c r="D1079" s="90" t="s">
        <v>38</v>
      </c>
      <c r="E1079" s="184">
        <f>0.712*E1078</f>
        <v>0.34</v>
      </c>
      <c r="F1079" s="113">
        <v>0</v>
      </c>
      <c r="G1079" s="15"/>
      <c r="H1079" s="33">
        <f>E1079*F1079</f>
        <v>0</v>
      </c>
      <c r="I1079" s="15"/>
    </row>
    <row r="1080" spans="1:11" x14ac:dyDescent="0.25">
      <c r="A1080" s="10" t="s">
        <v>71</v>
      </c>
      <c r="B1080" s="220" t="s">
        <v>13</v>
      </c>
      <c r="C1080" s="70" t="s">
        <v>444</v>
      </c>
      <c r="D1080" s="20" t="s">
        <v>58</v>
      </c>
      <c r="E1080" s="20">
        <v>0.8</v>
      </c>
      <c r="F1080" s="113">
        <v>0</v>
      </c>
      <c r="G1080" s="15"/>
      <c r="H1080" s="33">
        <f>E1080*F1080</f>
        <v>0</v>
      </c>
      <c r="I1080" s="15"/>
    </row>
    <row r="1081" spans="1:11" ht="42.75" x14ac:dyDescent="0.25">
      <c r="A1081" s="139">
        <v>12</v>
      </c>
      <c r="B1081" s="210" t="s">
        <v>9</v>
      </c>
      <c r="C1081" s="74" t="s">
        <v>217</v>
      </c>
      <c r="D1081" s="88" t="s">
        <v>54</v>
      </c>
      <c r="E1081" s="88">
        <f>0.12+62.4+0.64</f>
        <v>63.16</v>
      </c>
      <c r="F1081" s="143"/>
      <c r="G1081" s="65">
        <v>0</v>
      </c>
      <c r="H1081" s="150"/>
      <c r="I1081" s="65">
        <f>E1081*G1081</f>
        <v>0</v>
      </c>
    </row>
    <row r="1082" spans="1:11" x14ac:dyDescent="0.25">
      <c r="A1082" s="10" t="s">
        <v>73</v>
      </c>
      <c r="B1082" s="211" t="s">
        <v>13</v>
      </c>
      <c r="C1082" s="11" t="s">
        <v>55</v>
      </c>
      <c r="D1082" s="20" t="s">
        <v>38</v>
      </c>
      <c r="E1082" s="76">
        <f>1.22*E1081</f>
        <v>77.06</v>
      </c>
      <c r="F1082" s="113">
        <v>0</v>
      </c>
      <c r="G1082" s="15"/>
      <c r="H1082" s="33">
        <f t="shared" ref="H1082:H1086" si="92">E1082*F1082</f>
        <v>0</v>
      </c>
      <c r="I1082" s="15"/>
    </row>
    <row r="1083" spans="1:11" ht="30" x14ac:dyDescent="0.25">
      <c r="A1083" s="29" t="s">
        <v>74</v>
      </c>
      <c r="B1083" s="205" t="s">
        <v>13</v>
      </c>
      <c r="C1083" s="11" t="s">
        <v>326</v>
      </c>
      <c r="D1083" s="20" t="s">
        <v>58</v>
      </c>
      <c r="E1083" s="20">
        <v>0.1</v>
      </c>
      <c r="F1083" s="113">
        <v>0</v>
      </c>
      <c r="G1083" s="15"/>
      <c r="H1083" s="33">
        <f t="shared" si="92"/>
        <v>0</v>
      </c>
      <c r="I1083" s="15"/>
      <c r="K1083" s="115">
        <f>1.2*E1083</f>
        <v>0.12</v>
      </c>
    </row>
    <row r="1084" spans="1:11" x14ac:dyDescent="0.25">
      <c r="A1084" s="10" t="s">
        <v>75</v>
      </c>
      <c r="B1084" s="205" t="s">
        <v>13</v>
      </c>
      <c r="C1084" s="11" t="s">
        <v>447</v>
      </c>
      <c r="D1084" s="90" t="s">
        <v>58</v>
      </c>
      <c r="E1084" s="90">
        <v>57.7</v>
      </c>
      <c r="F1084" s="113">
        <v>0</v>
      </c>
      <c r="G1084" s="15"/>
      <c r="H1084" s="33">
        <f t="shared" si="92"/>
        <v>0</v>
      </c>
      <c r="I1084" s="15"/>
      <c r="K1084" s="115">
        <f>1.2*E1084</f>
        <v>69.239999999999995</v>
      </c>
    </row>
    <row r="1085" spans="1:11" x14ac:dyDescent="0.25">
      <c r="A1085" s="29" t="s">
        <v>833</v>
      </c>
      <c r="B1085" s="246" t="s">
        <v>13</v>
      </c>
      <c r="C1085" s="122" t="s">
        <v>448</v>
      </c>
      <c r="D1085" s="90" t="s">
        <v>14</v>
      </c>
      <c r="E1085" s="90">
        <v>1</v>
      </c>
      <c r="F1085" s="113">
        <v>0</v>
      </c>
      <c r="G1085" s="15"/>
      <c r="H1085" s="33">
        <f t="shared" si="92"/>
        <v>0</v>
      </c>
      <c r="I1085" s="15"/>
      <c r="K1085" s="115">
        <f>0.64*E1085</f>
        <v>0.64</v>
      </c>
    </row>
    <row r="1086" spans="1:11" x14ac:dyDescent="0.25">
      <c r="A1086" s="10" t="s">
        <v>834</v>
      </c>
      <c r="B1086" s="233" t="s">
        <v>13</v>
      </c>
      <c r="C1086" s="122" t="s">
        <v>230</v>
      </c>
      <c r="D1086" s="90" t="s">
        <v>54</v>
      </c>
      <c r="E1086" s="90">
        <v>0.1</v>
      </c>
      <c r="F1086" s="113">
        <v>0</v>
      </c>
      <c r="G1086" s="15"/>
      <c r="H1086" s="33">
        <f t="shared" si="92"/>
        <v>0</v>
      </c>
      <c r="I1086" s="15"/>
    </row>
    <row r="1087" spans="1:11" ht="28.5" x14ac:dyDescent="0.25">
      <c r="A1087" s="26" t="s">
        <v>76</v>
      </c>
      <c r="B1087" s="228" t="s">
        <v>189</v>
      </c>
      <c r="C1087" s="17" t="s">
        <v>48</v>
      </c>
      <c r="D1087" s="19" t="s">
        <v>14</v>
      </c>
      <c r="E1087" s="19">
        <v>3</v>
      </c>
      <c r="F1087" s="103"/>
      <c r="G1087" s="58">
        <v>0</v>
      </c>
      <c r="H1087" s="28"/>
      <c r="I1087" s="58">
        <f>E1087*G1087</f>
        <v>0</v>
      </c>
    </row>
    <row r="1088" spans="1:11" ht="30" x14ac:dyDescent="0.25">
      <c r="A1088" s="29" t="s">
        <v>77</v>
      </c>
      <c r="B1088" s="205" t="s">
        <v>13</v>
      </c>
      <c r="C1088" s="11" t="s">
        <v>231</v>
      </c>
      <c r="D1088" s="20" t="s">
        <v>14</v>
      </c>
      <c r="E1088" s="175">
        <v>1</v>
      </c>
      <c r="F1088" s="113">
        <v>0</v>
      </c>
      <c r="G1088" s="15"/>
      <c r="H1088" s="33">
        <f>E1088*F1088</f>
        <v>0</v>
      </c>
      <c r="I1088" s="15"/>
    </row>
    <row r="1089" spans="1:11" ht="30" x14ac:dyDescent="0.25">
      <c r="A1089" s="112" t="s">
        <v>387</v>
      </c>
      <c r="B1089" s="205" t="s">
        <v>13</v>
      </c>
      <c r="C1089" s="122" t="s">
        <v>321</v>
      </c>
      <c r="D1089" s="90" t="s">
        <v>14</v>
      </c>
      <c r="E1089" s="90">
        <v>2</v>
      </c>
      <c r="F1089" s="113">
        <v>0</v>
      </c>
      <c r="G1089" s="15"/>
      <c r="H1089" s="33">
        <f>E1089*F1089</f>
        <v>0</v>
      </c>
      <c r="I1089" s="15"/>
    </row>
    <row r="1090" spans="1:11" ht="28.5" x14ac:dyDescent="0.25">
      <c r="A1090" s="95" t="s">
        <v>78</v>
      </c>
      <c r="B1090" s="247" t="s">
        <v>9</v>
      </c>
      <c r="C1090" s="17" t="s">
        <v>211</v>
      </c>
      <c r="D1090" s="19" t="s">
        <v>54</v>
      </c>
      <c r="E1090" s="12">
        <v>72.2</v>
      </c>
      <c r="F1090" s="113"/>
      <c r="G1090" s="15">
        <v>0</v>
      </c>
      <c r="H1090" s="33"/>
      <c r="I1090" s="15">
        <f>E1090*G1090</f>
        <v>0</v>
      </c>
    </row>
    <row r="1091" spans="1:11" x14ac:dyDescent="0.25">
      <c r="A1091" s="93" t="s">
        <v>79</v>
      </c>
      <c r="B1091" s="247" t="s">
        <v>13</v>
      </c>
      <c r="C1091" s="188" t="s">
        <v>209</v>
      </c>
      <c r="D1091" s="90" t="s">
        <v>54</v>
      </c>
      <c r="E1091" s="12">
        <f>1.1*E1090</f>
        <v>79.42</v>
      </c>
      <c r="F1091" s="113">
        <v>0</v>
      </c>
      <c r="G1091" s="15"/>
      <c r="H1091" s="33">
        <f>E1091*F1091</f>
        <v>0</v>
      </c>
      <c r="I1091" s="15"/>
    </row>
    <row r="1092" spans="1:11" x14ac:dyDescent="0.25">
      <c r="A1092" s="93" t="s">
        <v>392</v>
      </c>
      <c r="B1092" s="247" t="s">
        <v>13</v>
      </c>
      <c r="C1092" s="11" t="s">
        <v>210</v>
      </c>
      <c r="D1092" s="20" t="s">
        <v>38</v>
      </c>
      <c r="E1092" s="12">
        <f>0.7*E1090</f>
        <v>50.54</v>
      </c>
      <c r="F1092" s="113">
        <v>0</v>
      </c>
      <c r="G1092" s="15"/>
      <c r="H1092" s="33">
        <f>E1092*F1092</f>
        <v>0</v>
      </c>
      <c r="I1092" s="15"/>
    </row>
    <row r="1093" spans="1:11" x14ac:dyDescent="0.25">
      <c r="A1093" s="100" t="s">
        <v>80</v>
      </c>
      <c r="B1093" s="245" t="s">
        <v>9</v>
      </c>
      <c r="C1093" s="187" t="s">
        <v>327</v>
      </c>
      <c r="D1093" s="88" t="s">
        <v>14</v>
      </c>
      <c r="E1093" s="88">
        <v>1</v>
      </c>
      <c r="F1093" s="143"/>
      <c r="G1093" s="65">
        <v>0</v>
      </c>
      <c r="H1093" s="150"/>
      <c r="I1093" s="65">
        <f>E1093*G1093</f>
        <v>0</v>
      </c>
    </row>
    <row r="1094" spans="1:11" x14ac:dyDescent="0.25">
      <c r="A1094" s="112" t="s">
        <v>81</v>
      </c>
      <c r="B1094" s="246" t="s">
        <v>13</v>
      </c>
      <c r="C1094" s="122" t="s">
        <v>328</v>
      </c>
      <c r="D1094" s="90" t="s">
        <v>14</v>
      </c>
      <c r="E1094" s="90">
        <v>1</v>
      </c>
      <c r="F1094" s="113">
        <v>0</v>
      </c>
      <c r="G1094" s="15"/>
      <c r="H1094" s="33">
        <f>E1094*F1094</f>
        <v>0</v>
      </c>
      <c r="I1094" s="15"/>
    </row>
    <row r="1095" spans="1:11" ht="28.5" x14ac:dyDescent="0.25">
      <c r="A1095" s="100" t="s">
        <v>86</v>
      </c>
      <c r="B1095" s="245" t="s">
        <v>9</v>
      </c>
      <c r="C1095" s="183" t="s">
        <v>330</v>
      </c>
      <c r="D1095" s="88" t="s">
        <v>14</v>
      </c>
      <c r="E1095" s="88">
        <v>2</v>
      </c>
      <c r="F1095" s="103"/>
      <c r="G1095" s="58">
        <v>0</v>
      </c>
      <c r="H1095" s="28"/>
      <c r="I1095" s="58">
        <f>E1095*G1095</f>
        <v>0</v>
      </c>
    </row>
    <row r="1096" spans="1:11" ht="15.75" thickBot="1" x14ac:dyDescent="0.3">
      <c r="A1096" s="376" t="s">
        <v>87</v>
      </c>
      <c r="B1096" s="377" t="s">
        <v>13</v>
      </c>
      <c r="C1096" s="122" t="s">
        <v>329</v>
      </c>
      <c r="D1096" s="92" t="s">
        <v>14</v>
      </c>
      <c r="E1096" s="92">
        <v>2</v>
      </c>
      <c r="F1096" s="111">
        <v>0</v>
      </c>
      <c r="G1096" s="44"/>
      <c r="H1096" s="186">
        <f>E1096*F1096</f>
        <v>0</v>
      </c>
      <c r="I1096" s="127"/>
    </row>
    <row r="1097" spans="1:11" ht="15.75" thickBot="1" x14ac:dyDescent="0.3">
      <c r="A1097" s="45"/>
      <c r="B1097" s="244"/>
      <c r="C1097" s="278" t="s">
        <v>417</v>
      </c>
      <c r="D1097" s="48"/>
      <c r="E1097" s="48"/>
      <c r="F1097" s="132"/>
      <c r="G1097" s="109"/>
      <c r="H1097" s="121">
        <f>SUM(H1079:H1096)</f>
        <v>0</v>
      </c>
      <c r="I1097" s="86">
        <f>SUM(I1078:I1096)</f>
        <v>0</v>
      </c>
    </row>
    <row r="1098" spans="1:11" ht="15.75" thickBot="1" x14ac:dyDescent="0.3">
      <c r="A1098" s="45"/>
      <c r="B1098" s="244"/>
      <c r="C1098" s="145" t="s">
        <v>720</v>
      </c>
      <c r="D1098" s="48"/>
      <c r="E1098" s="48"/>
      <c r="F1098" s="99"/>
      <c r="G1098" s="109"/>
      <c r="H1098" s="121"/>
      <c r="I1098" s="52"/>
      <c r="J1098" s="1"/>
      <c r="K1098" s="1"/>
    </row>
    <row r="1099" spans="1:11" ht="42.75" x14ac:dyDescent="0.25">
      <c r="A1099" s="97" t="s">
        <v>88</v>
      </c>
      <c r="B1099" s="204" t="s">
        <v>9</v>
      </c>
      <c r="C1099" s="5" t="s">
        <v>53</v>
      </c>
      <c r="D1099" s="53" t="s">
        <v>54</v>
      </c>
      <c r="E1099" s="4">
        <v>2.71</v>
      </c>
      <c r="F1099" s="8"/>
      <c r="G1099" s="172">
        <v>0</v>
      </c>
      <c r="H1099" s="6"/>
      <c r="I1099" s="42">
        <f>E1099*G1099</f>
        <v>0</v>
      </c>
      <c r="J1099" s="1"/>
      <c r="K1099" s="1">
        <f>SUM(K1101:K1109)</f>
        <v>2.71</v>
      </c>
    </row>
    <row r="1100" spans="1:11" x14ac:dyDescent="0.25">
      <c r="A1100" s="112" t="s">
        <v>89</v>
      </c>
      <c r="B1100" s="283" t="s">
        <v>13</v>
      </c>
      <c r="C1100" s="188" t="s">
        <v>165</v>
      </c>
      <c r="D1100" s="90" t="s">
        <v>38</v>
      </c>
      <c r="E1100" s="284">
        <f>0.606*E1099</f>
        <v>1.64</v>
      </c>
      <c r="F1100" s="63">
        <v>0</v>
      </c>
      <c r="G1100" s="101"/>
      <c r="H1100" s="126">
        <f>E1100*F1100</f>
        <v>0</v>
      </c>
      <c r="I1100" s="119"/>
      <c r="J1100" s="1"/>
      <c r="K1100" s="1"/>
    </row>
    <row r="1101" spans="1:11" ht="30" x14ac:dyDescent="0.25">
      <c r="A1101" s="10" t="s">
        <v>90</v>
      </c>
      <c r="B1101" s="229" t="s">
        <v>13</v>
      </c>
      <c r="C1101" s="70" t="s">
        <v>207</v>
      </c>
      <c r="D1101" s="20" t="s">
        <v>58</v>
      </c>
      <c r="E1101" s="12">
        <f>1.5+0.9+1.5+0.7</f>
        <v>4.5999999999999996</v>
      </c>
      <c r="F1101" s="14">
        <v>0</v>
      </c>
      <c r="G1101" s="102"/>
      <c r="H1101" s="113">
        <f>E1101*F1101</f>
        <v>0</v>
      </c>
      <c r="I1101" s="15"/>
      <c r="J1101" s="1"/>
      <c r="K1101" s="1">
        <v>1.45</v>
      </c>
    </row>
    <row r="1102" spans="1:11" ht="30" x14ac:dyDescent="0.25">
      <c r="A1102" s="112" t="s">
        <v>91</v>
      </c>
      <c r="B1102" s="229" t="s">
        <v>13</v>
      </c>
      <c r="C1102" s="70" t="s">
        <v>324</v>
      </c>
      <c r="D1102" s="20" t="s">
        <v>58</v>
      </c>
      <c r="E1102" s="12">
        <v>0.2</v>
      </c>
      <c r="F1102" s="14">
        <v>0</v>
      </c>
      <c r="G1102" s="102"/>
      <c r="H1102" s="113">
        <f t="shared" ref="H1102:H1109" si="93">E1102*F1102</f>
        <v>0</v>
      </c>
      <c r="I1102" s="15"/>
      <c r="J1102" s="1"/>
      <c r="K1102" s="1">
        <v>0.08</v>
      </c>
    </row>
    <row r="1103" spans="1:11" ht="30" x14ac:dyDescent="0.25">
      <c r="A1103" s="10" t="s">
        <v>400</v>
      </c>
      <c r="B1103" s="229" t="s">
        <v>13</v>
      </c>
      <c r="C1103" s="70" t="s">
        <v>331</v>
      </c>
      <c r="D1103" s="20" t="s">
        <v>58</v>
      </c>
      <c r="E1103" s="12">
        <v>0.1</v>
      </c>
      <c r="F1103" s="14">
        <v>0</v>
      </c>
      <c r="G1103" s="102"/>
      <c r="H1103" s="113">
        <f t="shared" si="93"/>
        <v>0</v>
      </c>
      <c r="I1103" s="15"/>
      <c r="J1103" s="1"/>
      <c r="K1103" s="1">
        <v>0.05</v>
      </c>
    </row>
    <row r="1104" spans="1:11" x14ac:dyDescent="0.25">
      <c r="A1104" s="112" t="s">
        <v>401</v>
      </c>
      <c r="B1104" s="229" t="s">
        <v>13</v>
      </c>
      <c r="C1104" s="70" t="s">
        <v>234</v>
      </c>
      <c r="D1104" s="20" t="s">
        <v>14</v>
      </c>
      <c r="E1104" s="12">
        <f>1+1</f>
        <v>2</v>
      </c>
      <c r="F1104" s="14">
        <v>0</v>
      </c>
      <c r="G1104" s="102"/>
      <c r="H1104" s="113">
        <f t="shared" si="93"/>
        <v>0</v>
      </c>
      <c r="I1104" s="15"/>
      <c r="J1104" s="1"/>
      <c r="K1104" s="1">
        <f>2*0.1</f>
        <v>0.2</v>
      </c>
    </row>
    <row r="1105" spans="1:11" x14ac:dyDescent="0.25">
      <c r="A1105" s="10" t="s">
        <v>402</v>
      </c>
      <c r="B1105" s="229" t="s">
        <v>13</v>
      </c>
      <c r="C1105" s="70" t="s">
        <v>235</v>
      </c>
      <c r="D1105" s="20" t="s">
        <v>14</v>
      </c>
      <c r="E1105" s="12">
        <f>1+1</f>
        <v>2</v>
      </c>
      <c r="F1105" s="14">
        <v>0</v>
      </c>
      <c r="G1105" s="102"/>
      <c r="H1105" s="113">
        <f t="shared" si="93"/>
        <v>0</v>
      </c>
      <c r="I1105" s="15"/>
      <c r="J1105" s="1"/>
      <c r="K1105" s="1">
        <f>2*0.025</f>
        <v>0.05</v>
      </c>
    </row>
    <row r="1106" spans="1:11" x14ac:dyDescent="0.25">
      <c r="A1106" s="112" t="s">
        <v>403</v>
      </c>
      <c r="B1106" s="233" t="s">
        <v>13</v>
      </c>
      <c r="C1106" s="70" t="s">
        <v>237</v>
      </c>
      <c r="D1106" s="20" t="s">
        <v>14</v>
      </c>
      <c r="E1106" s="20">
        <f>2</f>
        <v>2</v>
      </c>
      <c r="F1106" s="14">
        <v>0</v>
      </c>
      <c r="G1106" s="189"/>
      <c r="H1106" s="113">
        <f t="shared" si="93"/>
        <v>0</v>
      </c>
      <c r="I1106" s="190"/>
      <c r="J1106" s="1"/>
      <c r="K1106" s="1">
        <f>0.07*E1106</f>
        <v>0.14000000000000001</v>
      </c>
    </row>
    <row r="1107" spans="1:11" x14ac:dyDescent="0.25">
      <c r="A1107" s="10" t="s">
        <v>404</v>
      </c>
      <c r="B1107" s="233" t="s">
        <v>13</v>
      </c>
      <c r="C1107" s="70" t="s">
        <v>238</v>
      </c>
      <c r="D1107" s="20" t="s">
        <v>14</v>
      </c>
      <c r="E1107" s="20">
        <f>2+2</f>
        <v>4</v>
      </c>
      <c r="F1107" s="14">
        <v>0</v>
      </c>
      <c r="G1107" s="189"/>
      <c r="H1107" s="113">
        <f t="shared" si="93"/>
        <v>0</v>
      </c>
      <c r="I1107" s="190"/>
      <c r="J1107" s="1"/>
      <c r="K1107" s="1">
        <f>0.1*E1107</f>
        <v>0.4</v>
      </c>
    </row>
    <row r="1108" spans="1:11" ht="30" x14ac:dyDescent="0.25">
      <c r="A1108" s="112" t="s">
        <v>405</v>
      </c>
      <c r="B1108" s="233" t="s">
        <v>13</v>
      </c>
      <c r="C1108" s="128" t="s">
        <v>334</v>
      </c>
      <c r="D1108" s="90" t="s">
        <v>14</v>
      </c>
      <c r="E1108" s="90">
        <v>1</v>
      </c>
      <c r="F1108" s="63">
        <v>0</v>
      </c>
      <c r="G1108" s="378"/>
      <c r="H1108" s="113">
        <f t="shared" si="93"/>
        <v>0</v>
      </c>
      <c r="I1108" s="379"/>
      <c r="J1108" s="1"/>
      <c r="K1108" s="1">
        <f>1*0.29</f>
        <v>0.28999999999999998</v>
      </c>
    </row>
    <row r="1109" spans="1:11" ht="30" x14ac:dyDescent="0.25">
      <c r="A1109" s="10" t="s">
        <v>406</v>
      </c>
      <c r="B1109" s="233" t="s">
        <v>13</v>
      </c>
      <c r="C1109" s="128" t="s">
        <v>335</v>
      </c>
      <c r="D1109" s="90" t="s">
        <v>14</v>
      </c>
      <c r="E1109" s="90">
        <v>1</v>
      </c>
      <c r="F1109" s="63">
        <v>0</v>
      </c>
      <c r="G1109" s="378"/>
      <c r="H1109" s="113">
        <f t="shared" si="93"/>
        <v>0</v>
      </c>
      <c r="I1109" s="379"/>
      <c r="J1109" s="1"/>
      <c r="K1109" s="1">
        <f>1*0.05</f>
        <v>0.05</v>
      </c>
    </row>
    <row r="1110" spans="1:11" ht="42.75" x14ac:dyDescent="0.25">
      <c r="A1110" s="100" t="s">
        <v>92</v>
      </c>
      <c r="B1110" s="258" t="s">
        <v>9</v>
      </c>
      <c r="C1110" s="250" t="s">
        <v>153</v>
      </c>
      <c r="D1110" s="88" t="s">
        <v>54</v>
      </c>
      <c r="E1110" s="139">
        <v>98.92</v>
      </c>
      <c r="F1110" s="64"/>
      <c r="G1110" s="146">
        <v>0</v>
      </c>
      <c r="H1110" s="143"/>
      <c r="I1110" s="65">
        <f>E1110*G1110</f>
        <v>0</v>
      </c>
      <c r="J1110" s="1"/>
      <c r="K1110" s="1">
        <f>K1112+K1113+K1116+K1117+K1118</f>
        <v>98.92</v>
      </c>
    </row>
    <row r="1111" spans="1:11" x14ac:dyDescent="0.25">
      <c r="A1111" s="112" t="s">
        <v>93</v>
      </c>
      <c r="B1111" s="283" t="s">
        <v>13</v>
      </c>
      <c r="C1111" s="188" t="s">
        <v>165</v>
      </c>
      <c r="D1111" s="90" t="s">
        <v>38</v>
      </c>
      <c r="E1111" s="284">
        <f>0.606*E1110</f>
        <v>59.95</v>
      </c>
      <c r="F1111" s="63">
        <v>0</v>
      </c>
      <c r="G1111" s="101"/>
      <c r="H1111" s="126">
        <f>E1111*F1111</f>
        <v>0</v>
      </c>
      <c r="I1111" s="119"/>
      <c r="J1111" s="1"/>
      <c r="K1111" s="1"/>
    </row>
    <row r="1112" spans="1:11" ht="30" x14ac:dyDescent="0.25">
      <c r="A1112" s="10" t="s">
        <v>94</v>
      </c>
      <c r="B1112" s="229" t="s">
        <v>13</v>
      </c>
      <c r="C1112" s="70" t="s">
        <v>208</v>
      </c>
      <c r="D1112" s="20" t="s">
        <v>58</v>
      </c>
      <c r="E1112" s="12">
        <f>53.8+53.9+58.1+53.6</f>
        <v>219.4</v>
      </c>
      <c r="F1112" s="14">
        <v>0</v>
      </c>
      <c r="G1112" s="102"/>
      <c r="H1112" s="113">
        <f>E1112*F1112</f>
        <v>0</v>
      </c>
      <c r="I1112" s="15"/>
      <c r="J1112" s="1"/>
      <c r="K1112" s="1">
        <v>68.930000000000007</v>
      </c>
    </row>
    <row r="1113" spans="1:11" ht="30" x14ac:dyDescent="0.25">
      <c r="A1113" s="112" t="s">
        <v>95</v>
      </c>
      <c r="B1113" s="229" t="s">
        <v>13</v>
      </c>
      <c r="C1113" s="70" t="s">
        <v>332</v>
      </c>
      <c r="D1113" s="20" t="s">
        <v>58</v>
      </c>
      <c r="E1113" s="20">
        <v>56.7</v>
      </c>
      <c r="F1113" s="14">
        <v>0</v>
      </c>
      <c r="G1113" s="189"/>
      <c r="H1113" s="113">
        <f t="shared" ref="H1113" si="94">E1113*F1113</f>
        <v>0</v>
      </c>
      <c r="I1113" s="190"/>
      <c r="J1113" s="1"/>
      <c r="K1113" s="1">
        <v>28.5</v>
      </c>
    </row>
    <row r="1114" spans="1:11" x14ac:dyDescent="0.25">
      <c r="A1114" s="10" t="s">
        <v>408</v>
      </c>
      <c r="B1114" s="246" t="s">
        <v>13</v>
      </c>
      <c r="C1114" s="122" t="s">
        <v>339</v>
      </c>
      <c r="D1114" s="90" t="s">
        <v>14</v>
      </c>
      <c r="E1114" s="90">
        <v>4</v>
      </c>
      <c r="F1114" s="33">
        <v>0</v>
      </c>
      <c r="G1114" s="102"/>
      <c r="H1114" s="113">
        <f>E1114*F1114</f>
        <v>0</v>
      </c>
      <c r="I1114" s="15"/>
      <c r="J1114" s="1"/>
      <c r="K1114" s="1"/>
    </row>
    <row r="1115" spans="1:11" x14ac:dyDescent="0.25">
      <c r="A1115" s="112" t="s">
        <v>409</v>
      </c>
      <c r="B1115" s="246" t="s">
        <v>13</v>
      </c>
      <c r="C1115" s="122" t="s">
        <v>340</v>
      </c>
      <c r="D1115" s="90" t="s">
        <v>14</v>
      </c>
      <c r="E1115" s="90">
        <v>1</v>
      </c>
      <c r="F1115" s="33">
        <v>0</v>
      </c>
      <c r="G1115" s="189"/>
      <c r="H1115" s="113">
        <f>E1115*F1115</f>
        <v>0</v>
      </c>
      <c r="I1115" s="190"/>
      <c r="J1115" s="1"/>
      <c r="K1115" s="1"/>
    </row>
    <row r="1116" spans="1:11" x14ac:dyDescent="0.25">
      <c r="A1116" s="10" t="s">
        <v>410</v>
      </c>
      <c r="B1116" s="233" t="s">
        <v>13</v>
      </c>
      <c r="C1116" s="70" t="s">
        <v>236</v>
      </c>
      <c r="D1116" s="20" t="s">
        <v>14</v>
      </c>
      <c r="E1116" s="20">
        <f>2+2+3+3</f>
        <v>10</v>
      </c>
      <c r="F1116" s="14">
        <v>0</v>
      </c>
      <c r="G1116" s="189"/>
      <c r="H1116" s="113">
        <f t="shared" ref="H1116:H1118" si="95">E1116*F1116</f>
        <v>0</v>
      </c>
      <c r="I1116" s="190"/>
      <c r="J1116" s="1"/>
      <c r="K1116" s="1">
        <f>E1116*0.1</f>
        <v>1</v>
      </c>
    </row>
    <row r="1117" spans="1:11" x14ac:dyDescent="0.25">
      <c r="A1117" s="112" t="s">
        <v>411</v>
      </c>
      <c r="B1117" s="233" t="s">
        <v>13</v>
      </c>
      <c r="C1117" s="70" t="s">
        <v>237</v>
      </c>
      <c r="D1117" s="20" t="s">
        <v>14</v>
      </c>
      <c r="E1117" s="20">
        <v>1</v>
      </c>
      <c r="F1117" s="14">
        <v>0</v>
      </c>
      <c r="G1117" s="189"/>
      <c r="H1117" s="113">
        <f t="shared" si="95"/>
        <v>0</v>
      </c>
      <c r="I1117" s="190"/>
      <c r="J1117" s="1"/>
      <c r="K1117" s="1">
        <f>E1117*0.07</f>
        <v>7.0000000000000007E-2</v>
      </c>
    </row>
    <row r="1118" spans="1:11" x14ac:dyDescent="0.25">
      <c r="A1118" s="10" t="s">
        <v>430</v>
      </c>
      <c r="B1118" s="233" t="s">
        <v>13</v>
      </c>
      <c r="C1118" s="122" t="s">
        <v>449</v>
      </c>
      <c r="D1118" s="90" t="s">
        <v>14</v>
      </c>
      <c r="E1118" s="90">
        <v>2</v>
      </c>
      <c r="F1118" s="14">
        <v>0</v>
      </c>
      <c r="G1118" s="102"/>
      <c r="H1118" s="113">
        <f t="shared" si="95"/>
        <v>0</v>
      </c>
      <c r="I1118" s="15"/>
      <c r="J1118" s="1"/>
      <c r="K1118" s="1">
        <f>E1118*0.21</f>
        <v>0.42</v>
      </c>
    </row>
    <row r="1119" spans="1:11" ht="28.5" x14ac:dyDescent="0.25">
      <c r="A1119" s="100" t="s">
        <v>96</v>
      </c>
      <c r="B1119" s="245" t="s">
        <v>9</v>
      </c>
      <c r="C1119" s="183" t="s">
        <v>336</v>
      </c>
      <c r="D1119" s="88" t="s">
        <v>14</v>
      </c>
      <c r="E1119" s="88">
        <v>5</v>
      </c>
      <c r="F1119" s="28"/>
      <c r="G1119" s="117">
        <v>0</v>
      </c>
      <c r="H1119" s="103"/>
      <c r="I1119" s="58">
        <f>E1119*G1119</f>
        <v>0</v>
      </c>
      <c r="J1119" s="1"/>
      <c r="K1119" s="1"/>
    </row>
    <row r="1120" spans="1:11" ht="30" x14ac:dyDescent="0.25">
      <c r="A1120" s="112" t="s">
        <v>97</v>
      </c>
      <c r="B1120" s="246" t="s">
        <v>13</v>
      </c>
      <c r="C1120" s="122" t="s">
        <v>337</v>
      </c>
      <c r="D1120" s="90" t="s">
        <v>14</v>
      </c>
      <c r="E1120" s="90">
        <v>4</v>
      </c>
      <c r="F1120" s="33">
        <v>0</v>
      </c>
      <c r="G1120" s="102"/>
      <c r="H1120" s="113">
        <f>E1120*F1120</f>
        <v>0</v>
      </c>
      <c r="I1120" s="15"/>
      <c r="J1120" s="1"/>
      <c r="K1120" s="1"/>
    </row>
    <row r="1121" spans="1:11" ht="30" x14ac:dyDescent="0.25">
      <c r="A1121" s="112" t="s">
        <v>98</v>
      </c>
      <c r="B1121" s="246" t="s">
        <v>13</v>
      </c>
      <c r="C1121" s="122" t="s">
        <v>338</v>
      </c>
      <c r="D1121" s="90" t="s">
        <v>14</v>
      </c>
      <c r="E1121" s="90">
        <v>1</v>
      </c>
      <c r="F1121" s="33">
        <v>0</v>
      </c>
      <c r="G1121" s="102"/>
      <c r="H1121" s="113">
        <f>E1121*F1121</f>
        <v>0</v>
      </c>
      <c r="I1121" s="15"/>
      <c r="J1121" s="1"/>
      <c r="K1121" s="1"/>
    </row>
    <row r="1122" spans="1:11" ht="28.5" x14ac:dyDescent="0.25">
      <c r="A1122" s="26" t="s">
        <v>99</v>
      </c>
      <c r="B1122" s="239" t="s">
        <v>9</v>
      </c>
      <c r="C1122" s="17" t="s">
        <v>137</v>
      </c>
      <c r="D1122" s="19" t="s">
        <v>14</v>
      </c>
      <c r="E1122" s="19">
        <v>2</v>
      </c>
      <c r="F1122" s="28"/>
      <c r="G1122" s="58">
        <v>0</v>
      </c>
      <c r="H1122" s="28"/>
      <c r="I1122" s="58">
        <f>E1122*G1122</f>
        <v>0</v>
      </c>
      <c r="J1122" s="1"/>
      <c r="K1122" s="1"/>
    </row>
    <row r="1123" spans="1:11" x14ac:dyDescent="0.25">
      <c r="A1123" s="112" t="s">
        <v>100</v>
      </c>
      <c r="B1123" s="246" t="s">
        <v>13</v>
      </c>
      <c r="C1123" s="122" t="s">
        <v>341</v>
      </c>
      <c r="D1123" s="90" t="s">
        <v>14</v>
      </c>
      <c r="E1123" s="90">
        <f>2</f>
        <v>2</v>
      </c>
      <c r="F1123" s="33">
        <v>0</v>
      </c>
      <c r="G1123" s="102"/>
      <c r="H1123" s="113">
        <f>E1123*F1123</f>
        <v>0</v>
      </c>
      <c r="I1123" s="15"/>
      <c r="J1123" s="1"/>
      <c r="K1123" s="1"/>
    </row>
    <row r="1124" spans="1:11" ht="28.5" x14ac:dyDescent="0.25">
      <c r="A1124" s="26" t="s">
        <v>105</v>
      </c>
      <c r="B1124" s="239" t="s">
        <v>9</v>
      </c>
      <c r="C1124" s="17" t="s">
        <v>502</v>
      </c>
      <c r="D1124" s="19" t="s">
        <v>14</v>
      </c>
      <c r="E1124" s="19">
        <v>1</v>
      </c>
      <c r="F1124" s="28"/>
      <c r="G1124" s="58">
        <v>0</v>
      </c>
      <c r="H1124" s="28"/>
      <c r="I1124" s="58">
        <f>E1124*G1124</f>
        <v>0</v>
      </c>
      <c r="J1124" s="1"/>
      <c r="K1124" s="1"/>
    </row>
    <row r="1125" spans="1:11" x14ac:dyDescent="0.25">
      <c r="A1125" s="112" t="s">
        <v>149</v>
      </c>
      <c r="B1125" s="246" t="s">
        <v>13</v>
      </c>
      <c r="C1125" s="122" t="s">
        <v>343</v>
      </c>
      <c r="D1125" s="90"/>
      <c r="E1125" s="90">
        <v>1</v>
      </c>
      <c r="F1125" s="33">
        <v>0</v>
      </c>
      <c r="G1125" s="102"/>
      <c r="H1125" s="113">
        <f>E1125*F1125</f>
        <v>0</v>
      </c>
      <c r="I1125" s="15"/>
      <c r="J1125" s="1"/>
      <c r="K1125" s="1"/>
    </row>
    <row r="1126" spans="1:11" x14ac:dyDescent="0.25">
      <c r="A1126" s="100" t="s">
        <v>108</v>
      </c>
      <c r="B1126" s="245" t="s">
        <v>9</v>
      </c>
      <c r="C1126" s="183" t="s">
        <v>344</v>
      </c>
      <c r="D1126" s="88" t="s">
        <v>14</v>
      </c>
      <c r="E1126" s="88">
        <v>2</v>
      </c>
      <c r="F1126" s="28"/>
      <c r="G1126" s="117">
        <v>0</v>
      </c>
      <c r="H1126" s="103"/>
      <c r="I1126" s="58">
        <f>E1126*G1126</f>
        <v>0</v>
      </c>
      <c r="J1126" s="1"/>
      <c r="K1126" s="1"/>
    </row>
    <row r="1127" spans="1:11" x14ac:dyDescent="0.25">
      <c r="A1127" s="10" t="s">
        <v>106</v>
      </c>
      <c r="B1127" s="220" t="s">
        <v>13</v>
      </c>
      <c r="C1127" s="70" t="s">
        <v>345</v>
      </c>
      <c r="D1127" s="90" t="s">
        <v>14</v>
      </c>
      <c r="E1127" s="90">
        <v>2</v>
      </c>
      <c r="F1127" s="33">
        <v>0</v>
      </c>
      <c r="G1127" s="102"/>
      <c r="H1127" s="113">
        <f>E1127*F1127</f>
        <v>0</v>
      </c>
      <c r="I1127" s="15"/>
      <c r="J1127" s="1"/>
      <c r="K1127" s="1"/>
    </row>
    <row r="1128" spans="1:11" ht="28.5" x14ac:dyDescent="0.25">
      <c r="A1128" s="87" t="s">
        <v>109</v>
      </c>
      <c r="B1128" s="222" t="s">
        <v>9</v>
      </c>
      <c r="C1128" s="149" t="s">
        <v>247</v>
      </c>
      <c r="D1128" s="139" t="s">
        <v>14</v>
      </c>
      <c r="E1128" s="139">
        <v>1</v>
      </c>
      <c r="F1128" s="150"/>
      <c r="G1128" s="146">
        <v>0</v>
      </c>
      <c r="H1128" s="143"/>
      <c r="I1128" s="65">
        <f>E1128*G1128</f>
        <v>0</v>
      </c>
      <c r="J1128" s="1"/>
      <c r="K1128" s="1"/>
    </row>
    <row r="1129" spans="1:11" ht="30" x14ac:dyDescent="0.25">
      <c r="A1129" s="89" t="s">
        <v>110</v>
      </c>
      <c r="B1129" s="223" t="s">
        <v>13</v>
      </c>
      <c r="C1129" s="137" t="s">
        <v>248</v>
      </c>
      <c r="D1129" s="125" t="s">
        <v>14</v>
      </c>
      <c r="E1129" s="125">
        <v>1</v>
      </c>
      <c r="F1129" s="62">
        <v>0</v>
      </c>
      <c r="G1129" s="101"/>
      <c r="H1129" s="126">
        <f>E1129*F1129</f>
        <v>0</v>
      </c>
      <c r="I1129" s="119"/>
      <c r="J1129" s="1"/>
      <c r="K1129" s="1"/>
    </row>
    <row r="1130" spans="1:11" x14ac:dyDescent="0.25">
      <c r="A1130" s="87" t="s">
        <v>112</v>
      </c>
      <c r="B1130" s="222" t="s">
        <v>9</v>
      </c>
      <c r="C1130" s="149" t="s">
        <v>10</v>
      </c>
      <c r="D1130" s="139" t="s">
        <v>14</v>
      </c>
      <c r="E1130" s="139">
        <v>5</v>
      </c>
      <c r="F1130" s="150"/>
      <c r="G1130" s="146">
        <v>0</v>
      </c>
      <c r="H1130" s="143"/>
      <c r="I1130" s="65">
        <f>E1130*G1130</f>
        <v>0</v>
      </c>
      <c r="J1130" s="1"/>
      <c r="K1130" s="1"/>
    </row>
    <row r="1131" spans="1:11" ht="30" x14ac:dyDescent="0.25">
      <c r="A1131" s="157" t="s">
        <v>113</v>
      </c>
      <c r="B1131" s="247" t="s">
        <v>13</v>
      </c>
      <c r="C1131" s="73" t="s">
        <v>249</v>
      </c>
      <c r="D1131" s="158" t="s">
        <v>14</v>
      </c>
      <c r="E1131" s="158">
        <v>4</v>
      </c>
      <c r="F1131" s="159">
        <v>0</v>
      </c>
      <c r="G1131" s="160"/>
      <c r="H1131" s="113">
        <f>E1131*F1131</f>
        <v>0</v>
      </c>
      <c r="I1131" s="162"/>
      <c r="J1131" s="1"/>
      <c r="K1131" s="1"/>
    </row>
    <row r="1132" spans="1:11" ht="30" x14ac:dyDescent="0.25">
      <c r="A1132" s="10" t="s">
        <v>114</v>
      </c>
      <c r="B1132" s="247" t="s">
        <v>13</v>
      </c>
      <c r="C1132" s="73" t="s">
        <v>346</v>
      </c>
      <c r="D1132" s="20" t="s">
        <v>14</v>
      </c>
      <c r="E1132" s="20">
        <v>1</v>
      </c>
      <c r="F1132" s="33">
        <v>0</v>
      </c>
      <c r="G1132" s="102"/>
      <c r="H1132" s="161">
        <f>E1132*F1132</f>
        <v>0</v>
      </c>
      <c r="I1132" s="15"/>
      <c r="J1132" s="1"/>
      <c r="K1132" s="1"/>
    </row>
    <row r="1133" spans="1:11" x14ac:dyDescent="0.25">
      <c r="A1133" s="16" t="s">
        <v>115</v>
      </c>
      <c r="B1133" s="217" t="s">
        <v>9</v>
      </c>
      <c r="C1133" s="410" t="s">
        <v>240</v>
      </c>
      <c r="D1133" s="22" t="s">
        <v>14</v>
      </c>
      <c r="E1133" s="22">
        <v>5</v>
      </c>
      <c r="F1133" s="23"/>
      <c r="G1133" s="118">
        <v>0</v>
      </c>
      <c r="H1133" s="103"/>
      <c r="I1133" s="24">
        <f>E1133*G1133</f>
        <v>0</v>
      </c>
      <c r="J1133" s="1"/>
      <c r="K1133" s="1"/>
    </row>
    <row r="1134" spans="1:11" ht="30" x14ac:dyDescent="0.25">
      <c r="A1134" s="10" t="s">
        <v>116</v>
      </c>
      <c r="B1134" s="218" t="s">
        <v>13</v>
      </c>
      <c r="C1134" s="128" t="s">
        <v>241</v>
      </c>
      <c r="D1134" s="25" t="s">
        <v>14</v>
      </c>
      <c r="E1134" s="25">
        <v>4</v>
      </c>
      <c r="F1134" s="147">
        <v>0</v>
      </c>
      <c r="G1134" s="369"/>
      <c r="H1134" s="148">
        <f>E1134*F1134</f>
        <v>0</v>
      </c>
      <c r="I1134" s="15"/>
      <c r="J1134" s="1"/>
      <c r="K1134" s="1"/>
    </row>
    <row r="1135" spans="1:11" ht="30" x14ac:dyDescent="0.25">
      <c r="A1135" s="112" t="s">
        <v>117</v>
      </c>
      <c r="B1135" s="218" t="s">
        <v>13</v>
      </c>
      <c r="C1135" s="128" t="s">
        <v>347</v>
      </c>
      <c r="D1135" s="25" t="s">
        <v>14</v>
      </c>
      <c r="E1135" s="90">
        <v>1</v>
      </c>
      <c r="F1135" s="147">
        <v>0</v>
      </c>
      <c r="G1135" s="102"/>
      <c r="H1135" s="148">
        <f t="shared" ref="H1135" si="96">E1135*F1135</f>
        <v>0</v>
      </c>
      <c r="I1135" s="15"/>
      <c r="J1135" s="1"/>
      <c r="K1135" s="1"/>
    </row>
    <row r="1136" spans="1:11" ht="28.5" x14ac:dyDescent="0.25">
      <c r="A1136" s="95" t="s">
        <v>118</v>
      </c>
      <c r="B1136" s="259" t="s">
        <v>9</v>
      </c>
      <c r="C1136" s="17" t="s">
        <v>211</v>
      </c>
      <c r="D1136" s="19" t="s">
        <v>54</v>
      </c>
      <c r="E1136" s="12">
        <v>107.7</v>
      </c>
      <c r="F1136" s="33"/>
      <c r="G1136" s="102">
        <v>0</v>
      </c>
      <c r="H1136" s="113"/>
      <c r="I1136" s="15">
        <f>E1136*G1136</f>
        <v>0</v>
      </c>
      <c r="J1136" s="1"/>
      <c r="K1136" s="1">
        <f>16.8+16.8+18+18.2+16.7+18.1+28.2+22</f>
        <v>154.80000000000001</v>
      </c>
    </row>
    <row r="1137" spans="1:11" x14ac:dyDescent="0.25">
      <c r="A1137" s="93" t="s">
        <v>119</v>
      </c>
      <c r="B1137" s="247" t="s">
        <v>13</v>
      </c>
      <c r="C1137" s="188" t="s">
        <v>209</v>
      </c>
      <c r="D1137" s="90" t="s">
        <v>54</v>
      </c>
      <c r="E1137" s="12">
        <f>1.1*E1136</f>
        <v>118.47</v>
      </c>
      <c r="F1137" s="33">
        <v>0</v>
      </c>
      <c r="G1137" s="102"/>
      <c r="H1137" s="113">
        <f>E1137*F1137</f>
        <v>0</v>
      </c>
      <c r="I1137" s="15"/>
      <c r="J1137" s="1"/>
      <c r="K1137" s="1"/>
    </row>
    <row r="1138" spans="1:11" ht="15.75" thickBot="1" x14ac:dyDescent="0.3">
      <c r="A1138" s="131" t="s">
        <v>120</v>
      </c>
      <c r="B1138" s="248" t="s">
        <v>13</v>
      </c>
      <c r="C1138" s="55" t="s">
        <v>210</v>
      </c>
      <c r="D1138" s="94" t="s">
        <v>38</v>
      </c>
      <c r="E1138" s="141">
        <f>0.7*E1136</f>
        <v>75.39</v>
      </c>
      <c r="F1138" s="186">
        <v>0</v>
      </c>
      <c r="G1138" s="114"/>
      <c r="H1138" s="120">
        <f>E1138*F1138</f>
        <v>0</v>
      </c>
      <c r="I1138" s="127"/>
      <c r="J1138" s="1"/>
      <c r="K1138" s="1"/>
    </row>
    <row r="1139" spans="1:11" ht="15.75" thickBot="1" x14ac:dyDescent="0.3">
      <c r="A1139" s="45"/>
      <c r="B1139" s="244"/>
      <c r="C1139" s="278" t="s">
        <v>417</v>
      </c>
      <c r="D1139" s="48"/>
      <c r="E1139" s="48"/>
      <c r="F1139" s="99"/>
      <c r="G1139" s="109"/>
      <c r="H1139" s="121">
        <f>SUM(H1100:H1138)</f>
        <v>0</v>
      </c>
      <c r="I1139" s="86">
        <f>SUM(I1099:I1138)</f>
        <v>0</v>
      </c>
      <c r="J1139" s="1"/>
      <c r="K1139" s="1"/>
    </row>
    <row r="1140" spans="1:11" ht="15.75" thickBot="1" x14ac:dyDescent="0.3">
      <c r="A1140" s="45"/>
      <c r="B1140" s="244"/>
      <c r="C1140" s="290" t="s">
        <v>45</v>
      </c>
      <c r="D1140" s="48"/>
      <c r="E1140" s="48"/>
      <c r="F1140" s="99"/>
      <c r="G1140" s="109"/>
      <c r="H1140" s="121">
        <f>H1066+H1076+H1097+H1139</f>
        <v>0</v>
      </c>
      <c r="I1140" s="86">
        <f>I1066+I1076+I1097+I1139</f>
        <v>0</v>
      </c>
      <c r="J1140" s="1"/>
      <c r="K1140" s="1"/>
    </row>
    <row r="1141" spans="1:11" ht="15.75" thickBot="1" x14ac:dyDescent="0.3">
      <c r="A1141" s="181"/>
      <c r="B1141" s="243"/>
      <c r="C1141" s="290" t="s">
        <v>721</v>
      </c>
      <c r="D1141" s="176"/>
      <c r="E1141" s="176"/>
      <c r="F1141" s="289"/>
      <c r="G1141" s="154"/>
      <c r="H1141" s="273"/>
      <c r="I1141" s="274">
        <f>H1140+I1140</f>
        <v>0</v>
      </c>
      <c r="J1141" s="1"/>
      <c r="K1141" s="1"/>
    </row>
    <row r="1142" spans="1:11" ht="15.75" thickBot="1" x14ac:dyDescent="0.3">
      <c r="A1142" s="45"/>
      <c r="B1142" s="46" t="s">
        <v>848</v>
      </c>
      <c r="C1142" s="145" t="s">
        <v>250</v>
      </c>
      <c r="D1142" s="48"/>
      <c r="E1142" s="48"/>
      <c r="F1142" s="99"/>
      <c r="G1142" s="109"/>
      <c r="H1142" s="121"/>
      <c r="I1142" s="52"/>
      <c r="J1142" s="1"/>
      <c r="K1142" s="1"/>
    </row>
    <row r="1143" spans="1:11" ht="15.75" thickBot="1" x14ac:dyDescent="0.3">
      <c r="A1143" s="45"/>
      <c r="B1143" s="244"/>
      <c r="C1143" s="145" t="s">
        <v>722</v>
      </c>
      <c r="D1143" s="48"/>
      <c r="E1143" s="48"/>
      <c r="F1143" s="99"/>
      <c r="G1143" s="109"/>
      <c r="H1143" s="121"/>
      <c r="I1143" s="52"/>
      <c r="J1143" s="1"/>
      <c r="K1143" s="1"/>
    </row>
    <row r="1144" spans="1:11" ht="47.25" x14ac:dyDescent="0.25">
      <c r="A1144" s="4">
        <v>1</v>
      </c>
      <c r="B1144" s="226" t="s">
        <v>9</v>
      </c>
      <c r="C1144" s="5" t="s">
        <v>25</v>
      </c>
      <c r="D1144" s="171" t="s">
        <v>11</v>
      </c>
      <c r="E1144" s="4">
        <v>1</v>
      </c>
      <c r="F1144" s="6"/>
      <c r="G1144" s="172">
        <v>0</v>
      </c>
      <c r="H1144" s="6"/>
      <c r="I1144" s="42">
        <f>E1144*G1144</f>
        <v>0</v>
      </c>
      <c r="J1144" s="1"/>
      <c r="K1144" s="1"/>
    </row>
    <row r="1145" spans="1:11" x14ac:dyDescent="0.25">
      <c r="A1145" s="10" t="s">
        <v>12</v>
      </c>
      <c r="B1145" s="211" t="s">
        <v>13</v>
      </c>
      <c r="C1145" s="70" t="s">
        <v>253</v>
      </c>
      <c r="D1145" s="12" t="s">
        <v>14</v>
      </c>
      <c r="E1145" s="12">
        <v>1</v>
      </c>
      <c r="F1145" s="14">
        <v>0</v>
      </c>
      <c r="G1145" s="102"/>
      <c r="H1145" s="113">
        <f>E1145*F1145</f>
        <v>0</v>
      </c>
      <c r="I1145" s="15"/>
      <c r="J1145" s="1"/>
      <c r="K1145" s="1"/>
    </row>
    <row r="1146" spans="1:11" x14ac:dyDescent="0.25">
      <c r="A1146" s="10" t="s">
        <v>15</v>
      </c>
      <c r="B1146" s="211" t="s">
        <v>13</v>
      </c>
      <c r="C1146" s="70" t="s">
        <v>254</v>
      </c>
      <c r="D1146" s="12" t="s">
        <v>14</v>
      </c>
      <c r="E1146" s="12">
        <v>1</v>
      </c>
      <c r="F1146" s="14">
        <v>0</v>
      </c>
      <c r="G1146" s="102"/>
      <c r="H1146" s="113">
        <f>E1146*F1146</f>
        <v>0</v>
      </c>
      <c r="I1146" s="15"/>
      <c r="J1146" s="1"/>
      <c r="K1146" s="1"/>
    </row>
    <row r="1147" spans="1:11" ht="28.5" x14ac:dyDescent="0.25">
      <c r="A1147" s="16" t="s">
        <v>473</v>
      </c>
      <c r="B1147" s="212" t="s">
        <v>9</v>
      </c>
      <c r="C1147" s="295" t="s">
        <v>803</v>
      </c>
      <c r="D1147" s="18" t="s">
        <v>472</v>
      </c>
      <c r="E1147" s="18">
        <v>5</v>
      </c>
      <c r="F1147" s="13"/>
      <c r="G1147" s="117">
        <v>0</v>
      </c>
      <c r="H1147" s="103"/>
      <c r="I1147" s="58">
        <f>E1147*G1147</f>
        <v>0</v>
      </c>
      <c r="J1147" s="1"/>
      <c r="K1147" s="1"/>
    </row>
    <row r="1148" spans="1:11" ht="42.75" x14ac:dyDescent="0.25">
      <c r="A1148" s="16" t="s">
        <v>16</v>
      </c>
      <c r="B1148" s="215" t="s">
        <v>9</v>
      </c>
      <c r="C1148" s="295" t="s">
        <v>255</v>
      </c>
      <c r="D1148" s="18" t="s">
        <v>54</v>
      </c>
      <c r="E1148" s="18">
        <v>8.09</v>
      </c>
      <c r="F1148" s="13"/>
      <c r="G1148" s="117">
        <v>0</v>
      </c>
      <c r="H1148" s="103"/>
      <c r="I1148" s="58">
        <f>E1148*G1148</f>
        <v>0</v>
      </c>
      <c r="J1148" s="1"/>
      <c r="K1148" s="1"/>
    </row>
    <row r="1149" spans="1:11" x14ac:dyDescent="0.25">
      <c r="A1149" s="10" t="s">
        <v>17</v>
      </c>
      <c r="B1149" s="227" t="s">
        <v>13</v>
      </c>
      <c r="C1149" s="70" t="s">
        <v>165</v>
      </c>
      <c r="D1149" s="12" t="s">
        <v>38</v>
      </c>
      <c r="E1149" s="78">
        <f>2.55*E1148</f>
        <v>20.63</v>
      </c>
      <c r="F1149" s="14">
        <v>0</v>
      </c>
      <c r="G1149" s="102"/>
      <c r="H1149" s="113">
        <f>E1149*F1149</f>
        <v>0</v>
      </c>
      <c r="I1149" s="15"/>
      <c r="J1149" s="1"/>
      <c r="K1149" s="1"/>
    </row>
    <row r="1150" spans="1:11" ht="30" x14ac:dyDescent="0.25">
      <c r="A1150" s="10" t="s">
        <v>18</v>
      </c>
      <c r="B1150" s="211" t="s">
        <v>13</v>
      </c>
      <c r="C1150" s="70" t="s">
        <v>256</v>
      </c>
      <c r="D1150" s="12" t="s">
        <v>58</v>
      </c>
      <c r="E1150" s="12">
        <v>1.7</v>
      </c>
      <c r="F1150" s="14">
        <v>0</v>
      </c>
      <c r="G1150" s="102"/>
      <c r="H1150" s="113">
        <f>E1150*F1150</f>
        <v>0</v>
      </c>
      <c r="I1150" s="15"/>
      <c r="J1150" s="1"/>
      <c r="K1150" s="1">
        <v>4.2699999999999996</v>
      </c>
    </row>
    <row r="1151" spans="1:11" x14ac:dyDescent="0.25">
      <c r="A1151" s="10" t="s">
        <v>47</v>
      </c>
      <c r="B1151" s="211" t="s">
        <v>13</v>
      </c>
      <c r="C1151" s="70" t="s">
        <v>257</v>
      </c>
      <c r="D1151" s="12" t="s">
        <v>14</v>
      </c>
      <c r="E1151" s="12">
        <v>2</v>
      </c>
      <c r="F1151" s="14">
        <v>0</v>
      </c>
      <c r="G1151" s="102"/>
      <c r="H1151" s="113">
        <f>E1151*F1151</f>
        <v>0</v>
      </c>
      <c r="I1151" s="15"/>
      <c r="J1151" s="1"/>
      <c r="K1151" s="1">
        <f>1.91*E1151</f>
        <v>3.82</v>
      </c>
    </row>
    <row r="1152" spans="1:11" x14ac:dyDescent="0.25">
      <c r="A1152" s="10" t="s">
        <v>49</v>
      </c>
      <c r="B1152" s="211" t="s">
        <v>13</v>
      </c>
      <c r="C1152" s="70" t="s">
        <v>258</v>
      </c>
      <c r="D1152" s="12" t="s">
        <v>54</v>
      </c>
      <c r="E1152" s="12">
        <v>0.5</v>
      </c>
      <c r="F1152" s="14">
        <v>0</v>
      </c>
      <c r="G1152" s="102"/>
      <c r="H1152" s="113">
        <f t="shared" ref="H1152:H1153" si="97">E1152*F1152</f>
        <v>0</v>
      </c>
      <c r="I1152" s="15"/>
      <c r="J1152" s="1"/>
      <c r="K1152" s="1"/>
    </row>
    <row r="1153" spans="1:11" x14ac:dyDescent="0.25">
      <c r="A1153" s="10" t="s">
        <v>50</v>
      </c>
      <c r="B1153" s="211" t="s">
        <v>13</v>
      </c>
      <c r="C1153" s="70" t="s">
        <v>259</v>
      </c>
      <c r="D1153" s="12" t="s">
        <v>14</v>
      </c>
      <c r="E1153" s="12">
        <v>1</v>
      </c>
      <c r="F1153" s="14">
        <v>0</v>
      </c>
      <c r="G1153" s="102"/>
      <c r="H1153" s="113">
        <f t="shared" si="97"/>
        <v>0</v>
      </c>
      <c r="I1153" s="15"/>
      <c r="J1153" s="1"/>
      <c r="K1153" s="1"/>
    </row>
    <row r="1154" spans="1:11" ht="28.5" x14ac:dyDescent="0.25">
      <c r="A1154" s="16" t="s">
        <v>19</v>
      </c>
      <c r="B1154" s="215" t="s">
        <v>9</v>
      </c>
      <c r="C1154" s="17" t="s">
        <v>261</v>
      </c>
      <c r="D1154" s="18" t="s">
        <v>14</v>
      </c>
      <c r="E1154" s="18">
        <v>2</v>
      </c>
      <c r="F1154" s="13"/>
      <c r="G1154" s="117">
        <v>0</v>
      </c>
      <c r="H1154" s="103"/>
      <c r="I1154" s="58">
        <f>E1154*G1154</f>
        <v>0</v>
      </c>
      <c r="J1154" s="1"/>
      <c r="K1154" s="1"/>
    </row>
    <row r="1155" spans="1:11" ht="30" x14ac:dyDescent="0.25">
      <c r="A1155" s="10" t="s">
        <v>21</v>
      </c>
      <c r="B1155" s="211" t="s">
        <v>13</v>
      </c>
      <c r="C1155" s="11" t="s">
        <v>260</v>
      </c>
      <c r="D1155" s="12" t="s">
        <v>14</v>
      </c>
      <c r="E1155" s="12">
        <v>1</v>
      </c>
      <c r="F1155" s="14">
        <v>0</v>
      </c>
      <c r="G1155" s="102"/>
      <c r="H1155" s="113">
        <f>E1155*F1155</f>
        <v>0</v>
      </c>
      <c r="I1155" s="15"/>
      <c r="J1155" s="1"/>
      <c r="K1155" s="1"/>
    </row>
    <row r="1156" spans="1:11" ht="30" x14ac:dyDescent="0.25">
      <c r="A1156" s="10" t="s">
        <v>22</v>
      </c>
      <c r="B1156" s="211" t="s">
        <v>13</v>
      </c>
      <c r="C1156" s="11" t="s">
        <v>262</v>
      </c>
      <c r="D1156" s="12" t="s">
        <v>14</v>
      </c>
      <c r="E1156" s="12">
        <v>1</v>
      </c>
      <c r="F1156" s="14">
        <v>0</v>
      </c>
      <c r="G1156" s="102"/>
      <c r="H1156" s="113">
        <f>E1156*F1156</f>
        <v>0</v>
      </c>
      <c r="I1156" s="15"/>
      <c r="J1156" s="1"/>
      <c r="K1156" s="1"/>
    </row>
    <row r="1157" spans="1:11" ht="28.5" x14ac:dyDescent="0.25">
      <c r="A1157" s="16" t="s">
        <v>23</v>
      </c>
      <c r="B1157" s="215" t="s">
        <v>9</v>
      </c>
      <c r="C1157" s="17" t="s">
        <v>263</v>
      </c>
      <c r="D1157" s="19" t="s">
        <v>54</v>
      </c>
      <c r="E1157" s="18">
        <v>12.7</v>
      </c>
      <c r="F1157" s="13"/>
      <c r="G1157" s="117">
        <v>0</v>
      </c>
      <c r="H1157" s="103"/>
      <c r="I1157" s="58">
        <f>E1157*G1157</f>
        <v>0</v>
      </c>
      <c r="J1157" s="1"/>
      <c r="K1157" s="1"/>
    </row>
    <row r="1158" spans="1:11" x14ac:dyDescent="0.25">
      <c r="A1158" s="10" t="s">
        <v>24</v>
      </c>
      <c r="B1158" s="211" t="s">
        <v>13</v>
      </c>
      <c r="C1158" s="188" t="s">
        <v>264</v>
      </c>
      <c r="D1158" s="90" t="s">
        <v>54</v>
      </c>
      <c r="E1158" s="12">
        <f>1.1*E1157</f>
        <v>13.97</v>
      </c>
      <c r="F1158" s="14">
        <v>0</v>
      </c>
      <c r="G1158" s="102"/>
      <c r="H1158" s="113">
        <f>E1158*F1158</f>
        <v>0</v>
      </c>
      <c r="I1158" s="15"/>
      <c r="J1158" s="1"/>
      <c r="K1158" s="1"/>
    </row>
    <row r="1159" spans="1:11" ht="15.75" thickBot="1" x14ac:dyDescent="0.3">
      <c r="A1159" s="54" t="s">
        <v>60</v>
      </c>
      <c r="B1159" s="372" t="s">
        <v>13</v>
      </c>
      <c r="C1159" s="91" t="s">
        <v>265</v>
      </c>
      <c r="D1159" s="92" t="s">
        <v>38</v>
      </c>
      <c r="E1159" s="141">
        <f>2.8*E1157</f>
        <v>35.56</v>
      </c>
      <c r="F1159" s="142">
        <v>0</v>
      </c>
      <c r="G1159" s="114"/>
      <c r="H1159" s="120">
        <f>E1159*F1159</f>
        <v>0</v>
      </c>
      <c r="I1159" s="127"/>
      <c r="J1159" s="1"/>
      <c r="K1159" s="1"/>
    </row>
    <row r="1160" spans="1:11" ht="15.75" thickBot="1" x14ac:dyDescent="0.3">
      <c r="A1160" s="45"/>
      <c r="B1160" s="380"/>
      <c r="C1160" s="191"/>
      <c r="D1160" s="48"/>
      <c r="E1160" s="48"/>
      <c r="F1160" s="132"/>
      <c r="G1160" s="109"/>
      <c r="H1160" s="121">
        <f>SUM(H1145:H1159)</f>
        <v>0</v>
      </c>
      <c r="I1160" s="86">
        <f>SUM(I1144:I1159)</f>
        <v>0</v>
      </c>
      <c r="J1160" s="1"/>
      <c r="K1160" s="1"/>
    </row>
    <row r="1161" spans="1:11" ht="15.75" thickBot="1" x14ac:dyDescent="0.3">
      <c r="A1161" s="83"/>
      <c r="B1161" s="241"/>
      <c r="C1161" s="98" t="s">
        <v>723</v>
      </c>
      <c r="D1161" s="48"/>
      <c r="E1161" s="48"/>
      <c r="F1161" s="132"/>
      <c r="G1161" s="52"/>
      <c r="H1161" s="132"/>
      <c r="I1161" s="52"/>
      <c r="J1161" s="1"/>
      <c r="K1161" s="1"/>
    </row>
    <row r="1162" spans="1:11" ht="47.25" x14ac:dyDescent="0.25">
      <c r="A1162" s="100" t="s">
        <v>51</v>
      </c>
      <c r="B1162" s="226" t="s">
        <v>9</v>
      </c>
      <c r="C1162" s="5" t="s">
        <v>25</v>
      </c>
      <c r="D1162" s="171" t="s">
        <v>11</v>
      </c>
      <c r="E1162" s="4">
        <v>1</v>
      </c>
      <c r="F1162" s="6"/>
      <c r="G1162" s="172">
        <v>0</v>
      </c>
      <c r="H1162" s="6"/>
      <c r="I1162" s="42">
        <f>E1162*G1162</f>
        <v>0</v>
      </c>
      <c r="J1162" s="1"/>
      <c r="K1162" s="1"/>
    </row>
    <row r="1163" spans="1:11" ht="30" x14ac:dyDescent="0.25">
      <c r="A1163" s="10" t="s">
        <v>27</v>
      </c>
      <c r="B1163" s="211" t="s">
        <v>13</v>
      </c>
      <c r="C1163" s="277" t="s">
        <v>268</v>
      </c>
      <c r="D1163" s="12" t="s">
        <v>14</v>
      </c>
      <c r="E1163" s="12">
        <v>1</v>
      </c>
      <c r="F1163" s="14">
        <v>0</v>
      </c>
      <c r="G1163" s="102"/>
      <c r="H1163" s="113">
        <f>E1163*F1163</f>
        <v>0</v>
      </c>
      <c r="I1163" s="15"/>
      <c r="J1163" s="1"/>
      <c r="K1163" s="1"/>
    </row>
    <row r="1164" spans="1:11" x14ac:dyDescent="0.25">
      <c r="A1164" s="10" t="s">
        <v>28</v>
      </c>
      <c r="B1164" s="211" t="s">
        <v>13</v>
      </c>
      <c r="C1164" s="70" t="s">
        <v>269</v>
      </c>
      <c r="D1164" s="12" t="s">
        <v>14</v>
      </c>
      <c r="E1164" s="12">
        <v>1</v>
      </c>
      <c r="F1164" s="14">
        <v>0</v>
      </c>
      <c r="G1164" s="102"/>
      <c r="H1164" s="113">
        <f>E1164*F1164</f>
        <v>0</v>
      </c>
      <c r="I1164" s="15"/>
      <c r="J1164" s="1"/>
      <c r="K1164" s="1"/>
    </row>
    <row r="1165" spans="1:11" ht="28.5" x14ac:dyDescent="0.25">
      <c r="A1165" s="16" t="s">
        <v>474</v>
      </c>
      <c r="B1165" s="294" t="s">
        <v>9</v>
      </c>
      <c r="C1165" s="295" t="s">
        <v>803</v>
      </c>
      <c r="D1165" s="19" t="s">
        <v>472</v>
      </c>
      <c r="E1165" s="19">
        <v>5</v>
      </c>
      <c r="F1165" s="13"/>
      <c r="G1165" s="117">
        <v>0</v>
      </c>
      <c r="H1165" s="103"/>
      <c r="I1165" s="58">
        <f>E1165*G1165</f>
        <v>0</v>
      </c>
      <c r="J1165" s="1"/>
      <c r="K1165" s="1"/>
    </row>
    <row r="1166" spans="1:11" ht="42.75" x14ac:dyDescent="0.25">
      <c r="A1166" s="16" t="s">
        <v>29</v>
      </c>
      <c r="B1166" s="228" t="s">
        <v>9</v>
      </c>
      <c r="C1166" s="295" t="s">
        <v>255</v>
      </c>
      <c r="D1166" s="19" t="s">
        <v>54</v>
      </c>
      <c r="E1166" s="19">
        <v>8.19</v>
      </c>
      <c r="F1166" s="13"/>
      <c r="G1166" s="117">
        <v>0</v>
      </c>
      <c r="H1166" s="103"/>
      <c r="I1166" s="58">
        <f>E1166*G1166</f>
        <v>0</v>
      </c>
      <c r="J1166" s="1"/>
      <c r="K1166" s="1">
        <f>K1168+K1169+K1172</f>
        <v>8.19</v>
      </c>
    </row>
    <row r="1167" spans="1:11" x14ac:dyDescent="0.25">
      <c r="A1167" s="10" t="s">
        <v>31</v>
      </c>
      <c r="B1167" s="227" t="s">
        <v>13</v>
      </c>
      <c r="C1167" s="70" t="s">
        <v>165</v>
      </c>
      <c r="D1167" s="12" t="s">
        <v>38</v>
      </c>
      <c r="E1167" s="78">
        <f>2.55*E1166</f>
        <v>20.88</v>
      </c>
      <c r="F1167" s="14">
        <v>0</v>
      </c>
      <c r="G1167" s="102"/>
      <c r="H1167" s="113">
        <f>E1167*F1167</f>
        <v>0</v>
      </c>
      <c r="I1167" s="15"/>
      <c r="J1167" s="1"/>
      <c r="K1167" s="1"/>
    </row>
    <row r="1168" spans="1:11" ht="30" x14ac:dyDescent="0.25">
      <c r="A1168" s="10" t="s">
        <v>63</v>
      </c>
      <c r="B1168" s="211" t="s">
        <v>13</v>
      </c>
      <c r="C1168" s="70" t="s">
        <v>270</v>
      </c>
      <c r="D1168" s="12" t="s">
        <v>58</v>
      </c>
      <c r="E1168" s="12">
        <v>2.2000000000000002</v>
      </c>
      <c r="F1168" s="14">
        <v>0</v>
      </c>
      <c r="G1168" s="102"/>
      <c r="H1168" s="113">
        <f>E1168*F1168</f>
        <v>0</v>
      </c>
      <c r="I1168" s="15"/>
      <c r="J1168" s="1"/>
      <c r="K1168" s="1">
        <v>4.91</v>
      </c>
    </row>
    <row r="1169" spans="1:11" x14ac:dyDescent="0.25">
      <c r="A1169" s="10" t="s">
        <v>64</v>
      </c>
      <c r="B1169" s="211" t="s">
        <v>13</v>
      </c>
      <c r="C1169" s="70" t="s">
        <v>272</v>
      </c>
      <c r="D1169" s="12" t="s">
        <v>14</v>
      </c>
      <c r="E1169" s="12">
        <v>2</v>
      </c>
      <c r="F1169" s="14">
        <v>0</v>
      </c>
      <c r="G1169" s="102"/>
      <c r="H1169" s="113">
        <f>E1169*F1169</f>
        <v>0</v>
      </c>
      <c r="I1169" s="15"/>
      <c r="J1169" s="1"/>
      <c r="K1169" s="1">
        <f>1.53*E1169</f>
        <v>3.06</v>
      </c>
    </row>
    <row r="1170" spans="1:11" x14ac:dyDescent="0.25">
      <c r="A1170" s="10" t="s">
        <v>65</v>
      </c>
      <c r="B1170" s="211" t="s">
        <v>13</v>
      </c>
      <c r="C1170" s="70" t="s">
        <v>258</v>
      </c>
      <c r="D1170" s="12" t="s">
        <v>54</v>
      </c>
      <c r="E1170" s="12">
        <v>0.4</v>
      </c>
      <c r="F1170" s="14">
        <v>0</v>
      </c>
      <c r="G1170" s="102"/>
      <c r="H1170" s="113">
        <f t="shared" ref="H1170:H1172" si="98">E1170*F1170</f>
        <v>0</v>
      </c>
      <c r="I1170" s="15"/>
      <c r="J1170" s="1"/>
      <c r="K1170" s="1"/>
    </row>
    <row r="1171" spans="1:11" x14ac:dyDescent="0.25">
      <c r="A1171" s="10" t="s">
        <v>66</v>
      </c>
      <c r="B1171" s="211" t="s">
        <v>13</v>
      </c>
      <c r="C1171" s="70" t="s">
        <v>271</v>
      </c>
      <c r="D1171" s="12" t="s">
        <v>14</v>
      </c>
      <c r="E1171" s="12">
        <v>1</v>
      </c>
      <c r="F1171" s="14">
        <v>0</v>
      </c>
      <c r="G1171" s="102"/>
      <c r="H1171" s="113">
        <f t="shared" si="98"/>
        <v>0</v>
      </c>
      <c r="I1171" s="15"/>
      <c r="J1171" s="1"/>
      <c r="K1171" s="1"/>
    </row>
    <row r="1172" spans="1:11" x14ac:dyDescent="0.25">
      <c r="A1172" s="10" t="s">
        <v>384</v>
      </c>
      <c r="B1172" s="229" t="s">
        <v>13</v>
      </c>
      <c r="C1172" s="70" t="s">
        <v>273</v>
      </c>
      <c r="D1172" s="20" t="s">
        <v>14</v>
      </c>
      <c r="E1172" s="20">
        <v>1</v>
      </c>
      <c r="F1172" s="14">
        <v>0</v>
      </c>
      <c r="G1172" s="102"/>
      <c r="H1172" s="113">
        <f t="shared" si="98"/>
        <v>0</v>
      </c>
      <c r="I1172" s="15"/>
      <c r="J1172" s="1"/>
      <c r="K1172" s="1">
        <f>0.22*E1172</f>
        <v>0.22</v>
      </c>
    </row>
    <row r="1173" spans="1:11" ht="28.5" x14ac:dyDescent="0.25">
      <c r="A1173" s="16" t="s">
        <v>32</v>
      </c>
      <c r="B1173" s="228" t="s">
        <v>9</v>
      </c>
      <c r="C1173" s="17" t="s">
        <v>211</v>
      </c>
      <c r="D1173" s="19" t="s">
        <v>54</v>
      </c>
      <c r="E1173" s="18">
        <v>12.6</v>
      </c>
      <c r="F1173" s="28"/>
      <c r="G1173" s="117">
        <v>0</v>
      </c>
      <c r="H1173" s="103"/>
      <c r="I1173" s="58">
        <f>E1173*G1173</f>
        <v>0</v>
      </c>
      <c r="J1173" s="1"/>
      <c r="K1173" s="1"/>
    </row>
    <row r="1174" spans="1:11" x14ac:dyDescent="0.25">
      <c r="A1174" s="10" t="s">
        <v>33</v>
      </c>
      <c r="B1174" s="229" t="s">
        <v>13</v>
      </c>
      <c r="C1174" s="188" t="s">
        <v>209</v>
      </c>
      <c r="D1174" s="90" t="s">
        <v>54</v>
      </c>
      <c r="E1174" s="12">
        <f>1.1*E1173</f>
        <v>13.86</v>
      </c>
      <c r="F1174" s="33">
        <v>0</v>
      </c>
      <c r="G1174" s="102"/>
      <c r="H1174" s="113">
        <f>E1174*F1174</f>
        <v>0</v>
      </c>
      <c r="I1174" s="15"/>
      <c r="J1174" s="1"/>
      <c r="K1174" s="1"/>
    </row>
    <row r="1175" spans="1:11" x14ac:dyDescent="0.25">
      <c r="A1175" s="10" t="s">
        <v>34</v>
      </c>
      <c r="B1175" s="229" t="s">
        <v>13</v>
      </c>
      <c r="C1175" s="188" t="s">
        <v>266</v>
      </c>
      <c r="D1175" s="90" t="s">
        <v>38</v>
      </c>
      <c r="E1175" s="12">
        <f>0.7*E1173</f>
        <v>8.82</v>
      </c>
      <c r="F1175" s="33">
        <v>0</v>
      </c>
      <c r="G1175" s="102"/>
      <c r="H1175" s="113">
        <f>E1175*F1175</f>
        <v>0</v>
      </c>
      <c r="I1175" s="15"/>
      <c r="J1175" s="1"/>
      <c r="K1175" s="1"/>
    </row>
    <row r="1176" spans="1:11" ht="28.5" x14ac:dyDescent="0.25">
      <c r="A1176" s="16" t="s">
        <v>36</v>
      </c>
      <c r="B1176" s="217" t="s">
        <v>9</v>
      </c>
      <c r="C1176" s="17" t="s">
        <v>261</v>
      </c>
      <c r="D1176" s="18" t="s">
        <v>14</v>
      </c>
      <c r="E1176" s="18">
        <v>2</v>
      </c>
      <c r="F1176" s="13"/>
      <c r="G1176" s="117">
        <v>0</v>
      </c>
      <c r="H1176" s="103"/>
      <c r="I1176" s="58">
        <f>E1176*G1176</f>
        <v>0</v>
      </c>
      <c r="J1176" s="1"/>
      <c r="K1176" s="1"/>
    </row>
    <row r="1177" spans="1:11" ht="30" x14ac:dyDescent="0.25">
      <c r="A1177" s="10" t="s">
        <v>37</v>
      </c>
      <c r="B1177" s="229" t="s">
        <v>13</v>
      </c>
      <c r="C1177" s="11" t="s">
        <v>274</v>
      </c>
      <c r="D1177" s="12" t="s">
        <v>14</v>
      </c>
      <c r="E1177" s="12">
        <v>1</v>
      </c>
      <c r="F1177" s="14">
        <v>0</v>
      </c>
      <c r="G1177" s="102"/>
      <c r="H1177" s="113">
        <f>E1177*F1177</f>
        <v>0</v>
      </c>
      <c r="I1177" s="15"/>
      <c r="J1177" s="1"/>
      <c r="K1177" s="1"/>
    </row>
    <row r="1178" spans="1:11" ht="30.75" thickBot="1" x14ac:dyDescent="0.3">
      <c r="A1178" s="54" t="s">
        <v>233</v>
      </c>
      <c r="B1178" s="230" t="s">
        <v>13</v>
      </c>
      <c r="C1178" s="55" t="s">
        <v>275</v>
      </c>
      <c r="D1178" s="141" t="s">
        <v>14</v>
      </c>
      <c r="E1178" s="141">
        <v>1</v>
      </c>
      <c r="F1178" s="142">
        <v>0</v>
      </c>
      <c r="G1178" s="114"/>
      <c r="H1178" s="120">
        <f>E1178*F1178</f>
        <v>0</v>
      </c>
      <c r="I1178" s="127"/>
      <c r="J1178" s="1"/>
      <c r="K1178" s="1"/>
    </row>
    <row r="1179" spans="1:11" ht="15.75" thickBot="1" x14ac:dyDescent="0.3">
      <c r="A1179" s="45"/>
      <c r="B1179" s="231"/>
      <c r="C1179" s="268" t="s">
        <v>417</v>
      </c>
      <c r="D1179" s="48"/>
      <c r="E1179" s="48"/>
      <c r="F1179" s="132"/>
      <c r="G1179" s="109"/>
      <c r="H1179" s="121">
        <f>SUM(H1163:H1178)</f>
        <v>0</v>
      </c>
      <c r="I1179" s="86">
        <f>SUM(I1162:I1178)</f>
        <v>0</v>
      </c>
      <c r="J1179" s="1"/>
      <c r="K1179" s="1"/>
    </row>
    <row r="1180" spans="1:11" ht="15.75" thickBot="1" x14ac:dyDescent="0.3">
      <c r="A1180" s="83"/>
      <c r="B1180" s="241"/>
      <c r="C1180" s="98" t="s">
        <v>724</v>
      </c>
      <c r="D1180" s="48"/>
      <c r="E1180" s="48"/>
      <c r="F1180" s="132"/>
      <c r="G1180" s="52"/>
      <c r="H1180" s="132"/>
      <c r="I1180" s="52"/>
      <c r="J1180" s="1"/>
      <c r="K1180" s="1"/>
    </row>
    <row r="1181" spans="1:11" ht="47.25" x14ac:dyDescent="0.25">
      <c r="A1181" s="4">
        <v>9</v>
      </c>
      <c r="B1181" s="226" t="s">
        <v>9</v>
      </c>
      <c r="C1181" s="5" t="s">
        <v>277</v>
      </c>
      <c r="D1181" s="171" t="s">
        <v>11</v>
      </c>
      <c r="E1181" s="4">
        <v>1</v>
      </c>
      <c r="F1181" s="6"/>
      <c r="G1181" s="172">
        <v>0</v>
      </c>
      <c r="H1181" s="6"/>
      <c r="I1181" s="42">
        <f>E1181*G1181</f>
        <v>0</v>
      </c>
      <c r="J1181" s="1"/>
      <c r="K1181" s="1"/>
    </row>
    <row r="1182" spans="1:11" ht="30" x14ac:dyDescent="0.25">
      <c r="A1182" s="10" t="s">
        <v>40</v>
      </c>
      <c r="B1182" s="211" t="s">
        <v>13</v>
      </c>
      <c r="C1182" s="70" t="s">
        <v>278</v>
      </c>
      <c r="D1182" s="12" t="s">
        <v>14</v>
      </c>
      <c r="E1182" s="12">
        <v>1</v>
      </c>
      <c r="F1182" s="14">
        <v>0</v>
      </c>
      <c r="G1182" s="102"/>
      <c r="H1182" s="113">
        <f>E1182*F1182</f>
        <v>0</v>
      </c>
      <c r="I1182" s="15"/>
      <c r="J1182" s="1"/>
      <c r="K1182" s="1"/>
    </row>
    <row r="1183" spans="1:11" x14ac:dyDescent="0.25">
      <c r="A1183" s="10" t="s">
        <v>41</v>
      </c>
      <c r="B1183" s="211" t="s">
        <v>13</v>
      </c>
      <c r="C1183" s="70" t="s">
        <v>279</v>
      </c>
      <c r="D1183" s="12" t="s">
        <v>14</v>
      </c>
      <c r="E1183" s="12">
        <v>1</v>
      </c>
      <c r="F1183" s="14">
        <v>0</v>
      </c>
      <c r="G1183" s="102"/>
      <c r="H1183" s="113">
        <f>E1183*F1183</f>
        <v>0</v>
      </c>
      <c r="I1183" s="15"/>
      <c r="J1183" s="1"/>
      <c r="K1183" s="1"/>
    </row>
    <row r="1184" spans="1:11" ht="28.5" x14ac:dyDescent="0.25">
      <c r="A1184" s="16" t="s">
        <v>475</v>
      </c>
      <c r="B1184" s="212" t="s">
        <v>9</v>
      </c>
      <c r="C1184" s="295" t="s">
        <v>803</v>
      </c>
      <c r="D1184" s="18" t="s">
        <v>472</v>
      </c>
      <c r="E1184" s="18">
        <v>5</v>
      </c>
      <c r="F1184" s="13"/>
      <c r="G1184" s="117">
        <v>0</v>
      </c>
      <c r="H1184" s="103"/>
      <c r="I1184" s="58">
        <f>E1184*G1184</f>
        <v>0</v>
      </c>
      <c r="J1184" s="1"/>
      <c r="K1184" s="1"/>
    </row>
    <row r="1185" spans="1:11" ht="28.5" x14ac:dyDescent="0.25">
      <c r="A1185" s="16" t="s">
        <v>242</v>
      </c>
      <c r="B1185" s="215" t="s">
        <v>9</v>
      </c>
      <c r="C1185" s="295" t="s">
        <v>280</v>
      </c>
      <c r="D1185" s="18" t="s">
        <v>14</v>
      </c>
      <c r="E1185" s="18">
        <v>1</v>
      </c>
      <c r="F1185" s="13"/>
      <c r="G1185" s="117">
        <v>0</v>
      </c>
      <c r="H1185" s="103"/>
      <c r="I1185" s="58">
        <f>E1185*G1185</f>
        <v>0</v>
      </c>
      <c r="J1185" s="1"/>
      <c r="K1185" s="1"/>
    </row>
    <row r="1186" spans="1:11" x14ac:dyDescent="0.25">
      <c r="A1186" s="10" t="s">
        <v>42</v>
      </c>
      <c r="B1186" s="211" t="s">
        <v>13</v>
      </c>
      <c r="C1186" s="70" t="s">
        <v>281</v>
      </c>
      <c r="D1186" s="12" t="s">
        <v>14</v>
      </c>
      <c r="E1186" s="12">
        <v>1</v>
      </c>
      <c r="F1186" s="14">
        <v>0</v>
      </c>
      <c r="G1186" s="102"/>
      <c r="H1186" s="113">
        <f>E1186*F1186</f>
        <v>0</v>
      </c>
      <c r="I1186" s="15"/>
      <c r="J1186" s="1"/>
      <c r="K1186" s="1"/>
    </row>
    <row r="1187" spans="1:11" ht="28.5" x14ac:dyDescent="0.25">
      <c r="A1187" s="16" t="s">
        <v>69</v>
      </c>
      <c r="B1187" s="212" t="s">
        <v>9</v>
      </c>
      <c r="C1187" s="295" t="s">
        <v>52</v>
      </c>
      <c r="D1187" s="18" t="s">
        <v>14</v>
      </c>
      <c r="E1187" s="18">
        <v>19</v>
      </c>
      <c r="F1187" s="13"/>
      <c r="G1187" s="117">
        <v>0</v>
      </c>
      <c r="H1187" s="103"/>
      <c r="I1187" s="58">
        <f>E1187*G1187</f>
        <v>0</v>
      </c>
      <c r="J1187" s="1"/>
      <c r="K1187" s="1"/>
    </row>
    <row r="1188" spans="1:11" ht="30" x14ac:dyDescent="0.25">
      <c r="A1188" s="10" t="s">
        <v>70</v>
      </c>
      <c r="B1188" s="211" t="s">
        <v>13</v>
      </c>
      <c r="C1188" s="70" t="s">
        <v>351</v>
      </c>
      <c r="D1188" s="12" t="s">
        <v>14</v>
      </c>
      <c r="E1188" s="12">
        <v>19</v>
      </c>
      <c r="F1188" s="14">
        <v>0</v>
      </c>
      <c r="G1188" s="102"/>
      <c r="H1188" s="113">
        <f>E1188*F1188</f>
        <v>0</v>
      </c>
      <c r="I1188" s="15"/>
      <c r="J1188" s="1"/>
      <c r="K1188" s="1"/>
    </row>
    <row r="1189" spans="1:11" ht="42.75" x14ac:dyDescent="0.25">
      <c r="A1189" s="16" t="s">
        <v>246</v>
      </c>
      <c r="B1189" s="215" t="s">
        <v>9</v>
      </c>
      <c r="C1189" s="17" t="s">
        <v>180</v>
      </c>
      <c r="D1189" s="18" t="s">
        <v>54</v>
      </c>
      <c r="E1189" s="18">
        <v>14.71</v>
      </c>
      <c r="F1189" s="13"/>
      <c r="G1189" s="117">
        <v>0</v>
      </c>
      <c r="H1189" s="103"/>
      <c r="I1189" s="58">
        <f>E1189*G1189</f>
        <v>0</v>
      </c>
      <c r="J1189" s="1"/>
      <c r="K1189" s="1">
        <f>K1191+K1192</f>
        <v>14.71</v>
      </c>
    </row>
    <row r="1190" spans="1:11" x14ac:dyDescent="0.25">
      <c r="A1190" s="10" t="s">
        <v>73</v>
      </c>
      <c r="B1190" s="211" t="s">
        <v>13</v>
      </c>
      <c r="C1190" s="11" t="s">
        <v>165</v>
      </c>
      <c r="D1190" s="12" t="s">
        <v>38</v>
      </c>
      <c r="E1190" s="78">
        <f>2.25*E1189</f>
        <v>33.1</v>
      </c>
      <c r="F1190" s="14">
        <v>0</v>
      </c>
      <c r="G1190" s="102"/>
      <c r="H1190" s="113">
        <f>E1190*F1190</f>
        <v>0</v>
      </c>
      <c r="I1190" s="15"/>
      <c r="J1190" s="1"/>
      <c r="K1190" s="1"/>
    </row>
    <row r="1191" spans="1:11" ht="14.25" customHeight="1" x14ac:dyDescent="0.25">
      <c r="A1191" s="10" t="s">
        <v>74</v>
      </c>
      <c r="B1191" s="211" t="s">
        <v>13</v>
      </c>
      <c r="C1191" s="11" t="s">
        <v>725</v>
      </c>
      <c r="D1191" s="12" t="s">
        <v>58</v>
      </c>
      <c r="E1191" s="12">
        <v>2.1</v>
      </c>
      <c r="F1191" s="14">
        <v>0</v>
      </c>
      <c r="G1191" s="102"/>
      <c r="H1191" s="113">
        <f>E1191*F1191</f>
        <v>0</v>
      </c>
      <c r="I1191" s="15"/>
      <c r="J1191" s="1"/>
      <c r="K1191" s="1">
        <f>2.3*E1191</f>
        <v>4.83</v>
      </c>
    </row>
    <row r="1192" spans="1:11" x14ac:dyDescent="0.25">
      <c r="A1192" s="10" t="s">
        <v>75</v>
      </c>
      <c r="B1192" s="211" t="s">
        <v>13</v>
      </c>
      <c r="C1192" s="11" t="s">
        <v>284</v>
      </c>
      <c r="D1192" s="12" t="s">
        <v>14</v>
      </c>
      <c r="E1192" s="12">
        <v>19</v>
      </c>
      <c r="F1192" s="14">
        <v>0</v>
      </c>
      <c r="G1192" s="102"/>
      <c r="H1192" s="113">
        <f>E1192*F1192</f>
        <v>0</v>
      </c>
      <c r="I1192" s="15"/>
      <c r="J1192" s="1"/>
      <c r="K1192" s="1">
        <f>E1192*0.52</f>
        <v>9.8800000000000008</v>
      </c>
    </row>
    <row r="1193" spans="1:11" ht="42.75" x14ac:dyDescent="0.25">
      <c r="A1193" s="16" t="s">
        <v>76</v>
      </c>
      <c r="B1193" s="215" t="s">
        <v>9</v>
      </c>
      <c r="C1193" s="17" t="s">
        <v>285</v>
      </c>
      <c r="D1193" s="18" t="s">
        <v>54</v>
      </c>
      <c r="E1193" s="18">
        <v>155.34</v>
      </c>
      <c r="F1193" s="13"/>
      <c r="G1193" s="117">
        <v>0</v>
      </c>
      <c r="H1193" s="103"/>
      <c r="I1193" s="58">
        <f>E1193*G1193</f>
        <v>0</v>
      </c>
      <c r="J1193" s="1"/>
      <c r="K1193" s="1">
        <f>K1195+K1196+K1197+K1198+K1199</f>
        <v>155.34</v>
      </c>
    </row>
    <row r="1194" spans="1:11" x14ac:dyDescent="0.25">
      <c r="A1194" s="10" t="s">
        <v>77</v>
      </c>
      <c r="B1194" s="211" t="s">
        <v>13</v>
      </c>
      <c r="C1194" s="11" t="s">
        <v>165</v>
      </c>
      <c r="D1194" s="12" t="s">
        <v>38</v>
      </c>
      <c r="E1194" s="78">
        <f>2.25*E1193</f>
        <v>349.52</v>
      </c>
      <c r="F1194" s="14">
        <v>0</v>
      </c>
      <c r="G1194" s="102"/>
      <c r="H1194" s="113">
        <f t="shared" ref="H1194:H1199" si="99">E1194*F1194</f>
        <v>0</v>
      </c>
      <c r="I1194" s="15"/>
      <c r="J1194" s="1"/>
      <c r="K1194" s="1"/>
    </row>
    <row r="1195" spans="1:11" x14ac:dyDescent="0.25">
      <c r="A1195" s="10" t="s">
        <v>387</v>
      </c>
      <c r="B1195" s="211" t="s">
        <v>13</v>
      </c>
      <c r="C1195" s="11" t="s">
        <v>726</v>
      </c>
      <c r="D1195" s="12" t="s">
        <v>58</v>
      </c>
      <c r="E1195" s="12">
        <v>56.1</v>
      </c>
      <c r="F1195" s="14">
        <v>0</v>
      </c>
      <c r="G1195" s="102"/>
      <c r="H1195" s="113">
        <f t="shared" si="99"/>
        <v>0</v>
      </c>
      <c r="I1195" s="15"/>
      <c r="J1195" s="1"/>
      <c r="K1195" s="1">
        <f>2.6*E1195</f>
        <v>145.86000000000001</v>
      </c>
    </row>
    <row r="1196" spans="1:11" x14ac:dyDescent="0.25">
      <c r="A1196" s="10" t="s">
        <v>388</v>
      </c>
      <c r="B1196" s="211" t="s">
        <v>13</v>
      </c>
      <c r="C1196" s="70" t="s">
        <v>287</v>
      </c>
      <c r="D1196" s="12" t="s">
        <v>14</v>
      </c>
      <c r="E1196" s="12">
        <v>1</v>
      </c>
      <c r="F1196" s="14">
        <v>0</v>
      </c>
      <c r="G1196" s="102"/>
      <c r="H1196" s="113">
        <f t="shared" si="99"/>
        <v>0</v>
      </c>
      <c r="I1196" s="15"/>
      <c r="J1196" s="1"/>
      <c r="K1196" s="1">
        <f>0.53*E1196</f>
        <v>0.53</v>
      </c>
    </row>
    <row r="1197" spans="1:11" x14ac:dyDescent="0.25">
      <c r="A1197" s="10" t="s">
        <v>389</v>
      </c>
      <c r="B1197" s="211" t="s">
        <v>13</v>
      </c>
      <c r="C1197" s="70" t="s">
        <v>288</v>
      </c>
      <c r="D1197" s="12" t="s">
        <v>14</v>
      </c>
      <c r="E1197" s="12">
        <v>3</v>
      </c>
      <c r="F1197" s="14">
        <v>0</v>
      </c>
      <c r="G1197" s="102"/>
      <c r="H1197" s="113">
        <f t="shared" si="99"/>
        <v>0</v>
      </c>
      <c r="I1197" s="15"/>
      <c r="J1197" s="1"/>
      <c r="K1197" s="1">
        <f>1.79*E1197</f>
        <v>5.37</v>
      </c>
    </row>
    <row r="1198" spans="1:11" x14ac:dyDescent="0.25">
      <c r="A1198" s="10" t="s">
        <v>390</v>
      </c>
      <c r="B1198" s="211" t="s">
        <v>13</v>
      </c>
      <c r="C1198" s="11" t="s">
        <v>289</v>
      </c>
      <c r="D1198" s="12" t="s">
        <v>14</v>
      </c>
      <c r="E1198" s="12">
        <v>1</v>
      </c>
      <c r="F1198" s="14">
        <v>0</v>
      </c>
      <c r="G1198" s="102"/>
      <c r="H1198" s="113">
        <f t="shared" si="99"/>
        <v>0</v>
      </c>
      <c r="I1198" s="15"/>
      <c r="J1198" s="1"/>
      <c r="K1198" s="1">
        <f>2.4*E1198</f>
        <v>2.4</v>
      </c>
    </row>
    <row r="1199" spans="1:11" ht="30" x14ac:dyDescent="0.25">
      <c r="A1199" s="10" t="s">
        <v>391</v>
      </c>
      <c r="B1199" s="211" t="s">
        <v>13</v>
      </c>
      <c r="C1199" s="70" t="s">
        <v>290</v>
      </c>
      <c r="D1199" s="12" t="s">
        <v>14</v>
      </c>
      <c r="E1199" s="12">
        <v>1</v>
      </c>
      <c r="F1199" s="14">
        <v>0</v>
      </c>
      <c r="G1199" s="102"/>
      <c r="H1199" s="113">
        <f t="shared" si="99"/>
        <v>0</v>
      </c>
      <c r="I1199" s="15"/>
      <c r="J1199" s="1"/>
      <c r="K1199" s="1">
        <v>1.18</v>
      </c>
    </row>
    <row r="1200" spans="1:11" ht="42.75" x14ac:dyDescent="0.25">
      <c r="A1200" s="18">
        <v>14</v>
      </c>
      <c r="B1200" s="215" t="s">
        <v>9</v>
      </c>
      <c r="C1200" s="295" t="s">
        <v>291</v>
      </c>
      <c r="D1200" s="18" t="s">
        <v>54</v>
      </c>
      <c r="E1200" s="18">
        <v>3.59</v>
      </c>
      <c r="F1200" s="13"/>
      <c r="G1200" s="117">
        <v>0</v>
      </c>
      <c r="H1200" s="103"/>
      <c r="I1200" s="58">
        <f>E1200*G1200</f>
        <v>0</v>
      </c>
      <c r="J1200" s="1"/>
      <c r="K1200" s="1">
        <f>K1202+K1203+K1204</f>
        <v>3.59</v>
      </c>
    </row>
    <row r="1201" spans="1:11" x14ac:dyDescent="0.25">
      <c r="A1201" s="10" t="s">
        <v>79</v>
      </c>
      <c r="B1201" s="211" t="s">
        <v>13</v>
      </c>
      <c r="C1201" s="11" t="s">
        <v>165</v>
      </c>
      <c r="D1201" s="12" t="s">
        <v>38</v>
      </c>
      <c r="E1201" s="78">
        <f>1.22*E1200</f>
        <v>4.38</v>
      </c>
      <c r="F1201" s="14">
        <v>0</v>
      </c>
      <c r="G1201" s="102"/>
      <c r="H1201" s="113">
        <f>E1201*F1201</f>
        <v>0</v>
      </c>
      <c r="I1201" s="15"/>
      <c r="J1201" s="1"/>
      <c r="K1201" s="1"/>
    </row>
    <row r="1202" spans="1:11" ht="30" x14ac:dyDescent="0.25">
      <c r="A1202" s="10" t="s">
        <v>392</v>
      </c>
      <c r="B1202" s="211" t="s">
        <v>13</v>
      </c>
      <c r="C1202" s="277" t="s">
        <v>292</v>
      </c>
      <c r="D1202" s="12" t="s">
        <v>58</v>
      </c>
      <c r="E1202" s="12">
        <v>0.8</v>
      </c>
      <c r="F1202" s="14">
        <v>0</v>
      </c>
      <c r="G1202" s="102"/>
      <c r="H1202" s="113">
        <f t="shared" ref="H1202:H1205" si="100">E1202*F1202</f>
        <v>0</v>
      </c>
      <c r="I1202" s="15"/>
      <c r="J1202" s="1"/>
      <c r="K1202" s="1">
        <v>1.41</v>
      </c>
    </row>
    <row r="1203" spans="1:11" x14ac:dyDescent="0.25">
      <c r="A1203" s="10" t="s">
        <v>393</v>
      </c>
      <c r="B1203" s="211" t="s">
        <v>13</v>
      </c>
      <c r="C1203" s="70" t="s">
        <v>293</v>
      </c>
      <c r="D1203" s="12" t="s">
        <v>14</v>
      </c>
      <c r="E1203" s="12">
        <v>2</v>
      </c>
      <c r="F1203" s="14">
        <v>0</v>
      </c>
      <c r="G1203" s="102"/>
      <c r="H1203" s="113">
        <f t="shared" si="100"/>
        <v>0</v>
      </c>
      <c r="I1203" s="15"/>
      <c r="J1203" s="1"/>
      <c r="K1203" s="1">
        <f>1*E1203</f>
        <v>2</v>
      </c>
    </row>
    <row r="1204" spans="1:11" x14ac:dyDescent="0.25">
      <c r="A1204" s="10" t="s">
        <v>394</v>
      </c>
      <c r="B1204" s="211" t="s">
        <v>13</v>
      </c>
      <c r="C1204" s="70" t="s">
        <v>294</v>
      </c>
      <c r="D1204" s="20" t="s">
        <v>14</v>
      </c>
      <c r="E1204" s="20">
        <v>1</v>
      </c>
      <c r="F1204" s="14">
        <v>0</v>
      </c>
      <c r="G1204" s="102"/>
      <c r="H1204" s="113">
        <f t="shared" si="100"/>
        <v>0</v>
      </c>
      <c r="I1204" s="15"/>
      <c r="J1204" s="1"/>
      <c r="K1204" s="1">
        <v>0.18</v>
      </c>
    </row>
    <row r="1205" spans="1:11" x14ac:dyDescent="0.25">
      <c r="A1205" s="10" t="s">
        <v>395</v>
      </c>
      <c r="B1205" s="229" t="s">
        <v>13</v>
      </c>
      <c r="C1205" s="70" t="s">
        <v>295</v>
      </c>
      <c r="D1205" s="20" t="s">
        <v>14</v>
      </c>
      <c r="E1205" s="20">
        <v>1</v>
      </c>
      <c r="F1205" s="14">
        <v>0</v>
      </c>
      <c r="G1205" s="102"/>
      <c r="H1205" s="113">
        <f t="shared" si="100"/>
        <v>0</v>
      </c>
      <c r="I1205" s="15"/>
      <c r="J1205" s="1"/>
      <c r="K1205" s="1"/>
    </row>
    <row r="1206" spans="1:11" ht="28.5" x14ac:dyDescent="0.25">
      <c r="A1206" s="16" t="s">
        <v>80</v>
      </c>
      <c r="B1206" s="228" t="s">
        <v>9</v>
      </c>
      <c r="C1206" s="17" t="s">
        <v>211</v>
      </c>
      <c r="D1206" s="19" t="s">
        <v>54</v>
      </c>
      <c r="E1206" s="18">
        <v>163.9</v>
      </c>
      <c r="F1206" s="28"/>
      <c r="G1206" s="117">
        <v>0</v>
      </c>
      <c r="H1206" s="103"/>
      <c r="I1206" s="58">
        <f>E1206*G1206</f>
        <v>0</v>
      </c>
      <c r="J1206" s="1"/>
      <c r="K1206" s="1"/>
    </row>
    <row r="1207" spans="1:11" x14ac:dyDescent="0.25">
      <c r="A1207" s="10" t="s">
        <v>81</v>
      </c>
      <c r="B1207" s="229" t="s">
        <v>13</v>
      </c>
      <c r="C1207" s="188" t="s">
        <v>209</v>
      </c>
      <c r="D1207" s="90" t="s">
        <v>54</v>
      </c>
      <c r="E1207" s="12">
        <f>1.1*E1206</f>
        <v>180.29</v>
      </c>
      <c r="F1207" s="33">
        <v>0</v>
      </c>
      <c r="G1207" s="102"/>
      <c r="H1207" s="113">
        <f>E1207*F1207</f>
        <v>0</v>
      </c>
      <c r="I1207" s="15"/>
      <c r="J1207" s="1"/>
      <c r="K1207" s="1"/>
    </row>
    <row r="1208" spans="1:11" ht="15.75" thickBot="1" x14ac:dyDescent="0.3">
      <c r="A1208" s="54" t="s">
        <v>82</v>
      </c>
      <c r="B1208" s="200" t="s">
        <v>13</v>
      </c>
      <c r="C1208" s="55" t="s">
        <v>266</v>
      </c>
      <c r="D1208" s="94" t="s">
        <v>38</v>
      </c>
      <c r="E1208" s="141">
        <f>0.7*E1206</f>
        <v>114.73</v>
      </c>
      <c r="F1208" s="186">
        <v>0</v>
      </c>
      <c r="G1208" s="114"/>
      <c r="H1208" s="120">
        <f>E1208*F1208</f>
        <v>0</v>
      </c>
      <c r="I1208" s="127"/>
      <c r="J1208" s="1"/>
      <c r="K1208" s="1"/>
    </row>
    <row r="1209" spans="1:11" ht="15.75" thickBot="1" x14ac:dyDescent="0.3">
      <c r="A1209" s="45"/>
      <c r="B1209" s="216"/>
      <c r="C1209" s="191"/>
      <c r="D1209" s="48"/>
      <c r="E1209" s="48"/>
      <c r="F1209" s="132"/>
      <c r="G1209" s="109"/>
      <c r="H1209" s="121">
        <f>SUM(H1182:H1208)</f>
        <v>0</v>
      </c>
      <c r="I1209" s="86">
        <f>SUM(I1181:I1208)</f>
        <v>0</v>
      </c>
      <c r="J1209" s="1"/>
      <c r="K1209" s="1"/>
    </row>
    <row r="1210" spans="1:11" ht="15.75" thickBot="1" x14ac:dyDescent="0.3">
      <c r="A1210" s="45"/>
      <c r="B1210" s="216"/>
      <c r="C1210" s="47" t="s">
        <v>727</v>
      </c>
      <c r="D1210" s="48"/>
      <c r="E1210" s="48"/>
      <c r="F1210" s="144"/>
      <c r="G1210" s="52"/>
      <c r="H1210" s="132"/>
      <c r="I1210" s="52"/>
      <c r="J1210" s="1"/>
      <c r="K1210" s="1"/>
    </row>
    <row r="1211" spans="1:11" ht="47.25" x14ac:dyDescent="0.25">
      <c r="A1211" s="4">
        <v>16</v>
      </c>
      <c r="B1211" s="226" t="s">
        <v>9</v>
      </c>
      <c r="C1211" s="5" t="s">
        <v>277</v>
      </c>
      <c r="D1211" s="171" t="s">
        <v>11</v>
      </c>
      <c r="E1211" s="4">
        <v>1</v>
      </c>
      <c r="F1211" s="6"/>
      <c r="G1211" s="172">
        <v>0</v>
      </c>
      <c r="H1211" s="6"/>
      <c r="I1211" s="42">
        <f>E1211*G1211</f>
        <v>0</v>
      </c>
      <c r="J1211" s="1"/>
      <c r="K1211" s="1"/>
    </row>
    <row r="1212" spans="1:11" ht="30" x14ac:dyDescent="0.25">
      <c r="A1212" s="10" t="s">
        <v>87</v>
      </c>
      <c r="B1212" s="211" t="s">
        <v>13</v>
      </c>
      <c r="C1212" s="70" t="s">
        <v>278</v>
      </c>
      <c r="D1212" s="12" t="s">
        <v>14</v>
      </c>
      <c r="E1212" s="12">
        <v>1</v>
      </c>
      <c r="F1212" s="14">
        <v>0</v>
      </c>
      <c r="G1212" s="102"/>
      <c r="H1212" s="113">
        <f>E1212*F1212</f>
        <v>0</v>
      </c>
      <c r="I1212" s="15"/>
      <c r="J1212" s="1"/>
      <c r="K1212" s="1"/>
    </row>
    <row r="1213" spans="1:11" x14ac:dyDescent="0.25">
      <c r="A1213" s="10" t="s">
        <v>396</v>
      </c>
      <c r="B1213" s="211" t="s">
        <v>13</v>
      </c>
      <c r="C1213" s="70" t="s">
        <v>279</v>
      </c>
      <c r="D1213" s="12" t="s">
        <v>14</v>
      </c>
      <c r="E1213" s="12">
        <v>1</v>
      </c>
      <c r="F1213" s="14">
        <v>0</v>
      </c>
      <c r="G1213" s="102"/>
      <c r="H1213" s="113">
        <f>E1213*F1213</f>
        <v>0</v>
      </c>
      <c r="I1213" s="15"/>
      <c r="J1213" s="1"/>
      <c r="K1213" s="1"/>
    </row>
    <row r="1214" spans="1:11" ht="28.5" x14ac:dyDescent="0.25">
      <c r="A1214" s="16" t="s">
        <v>477</v>
      </c>
      <c r="B1214" s="212" t="s">
        <v>9</v>
      </c>
      <c r="C1214" s="295" t="s">
        <v>803</v>
      </c>
      <c r="D1214" s="18" t="s">
        <v>472</v>
      </c>
      <c r="E1214" s="18">
        <v>5</v>
      </c>
      <c r="F1214" s="13"/>
      <c r="G1214" s="117">
        <v>0</v>
      </c>
      <c r="H1214" s="103"/>
      <c r="I1214" s="58">
        <f>E1214*G1214</f>
        <v>0</v>
      </c>
      <c r="J1214" s="1"/>
      <c r="K1214" s="1"/>
    </row>
    <row r="1215" spans="1:11" ht="28.5" x14ac:dyDescent="0.25">
      <c r="A1215" s="16" t="s">
        <v>88</v>
      </c>
      <c r="B1215" s="215" t="s">
        <v>9</v>
      </c>
      <c r="C1215" s="295" t="s">
        <v>280</v>
      </c>
      <c r="D1215" s="18" t="s">
        <v>14</v>
      </c>
      <c r="E1215" s="18">
        <v>1</v>
      </c>
      <c r="F1215" s="13"/>
      <c r="G1215" s="117">
        <v>0</v>
      </c>
      <c r="H1215" s="103"/>
      <c r="I1215" s="58">
        <f>E1215*G1215</f>
        <v>0</v>
      </c>
      <c r="J1215" s="1"/>
      <c r="K1215" s="1"/>
    </row>
    <row r="1216" spans="1:11" x14ac:dyDescent="0.25">
      <c r="A1216" s="10" t="s">
        <v>89</v>
      </c>
      <c r="B1216" s="211" t="s">
        <v>13</v>
      </c>
      <c r="C1216" s="70" t="s">
        <v>281</v>
      </c>
      <c r="D1216" s="12" t="s">
        <v>14</v>
      </c>
      <c r="E1216" s="12">
        <v>1</v>
      </c>
      <c r="F1216" s="14">
        <v>0</v>
      </c>
      <c r="G1216" s="102"/>
      <c r="H1216" s="113">
        <f>E1216*F1216</f>
        <v>0</v>
      </c>
      <c r="I1216" s="15"/>
      <c r="J1216" s="1"/>
      <c r="K1216" s="1"/>
    </row>
    <row r="1217" spans="1:11" ht="28.5" x14ac:dyDescent="0.25">
      <c r="A1217" s="16" t="s">
        <v>92</v>
      </c>
      <c r="B1217" s="212" t="s">
        <v>9</v>
      </c>
      <c r="C1217" s="295" t="s">
        <v>358</v>
      </c>
      <c r="D1217" s="18" t="s">
        <v>14</v>
      </c>
      <c r="E1217" s="18">
        <v>19</v>
      </c>
      <c r="F1217" s="13"/>
      <c r="G1217" s="117">
        <v>0</v>
      </c>
      <c r="H1217" s="103"/>
      <c r="I1217" s="58">
        <f>E1217*G1217</f>
        <v>0</v>
      </c>
      <c r="J1217" s="1"/>
      <c r="K1217" s="1"/>
    </row>
    <row r="1218" spans="1:11" ht="30" x14ac:dyDescent="0.25">
      <c r="A1218" s="10" t="s">
        <v>93</v>
      </c>
      <c r="B1218" s="211" t="s">
        <v>13</v>
      </c>
      <c r="C1218" s="70" t="s">
        <v>359</v>
      </c>
      <c r="D1218" s="12" t="s">
        <v>14</v>
      </c>
      <c r="E1218" s="12">
        <v>19</v>
      </c>
      <c r="F1218" s="14">
        <v>0</v>
      </c>
      <c r="G1218" s="102"/>
      <c r="H1218" s="113">
        <f>E1218*F1218</f>
        <v>0</v>
      </c>
      <c r="I1218" s="15"/>
      <c r="J1218" s="1"/>
      <c r="K1218" s="1"/>
    </row>
    <row r="1219" spans="1:11" ht="42.75" x14ac:dyDescent="0.25">
      <c r="A1219" s="16" t="s">
        <v>96</v>
      </c>
      <c r="B1219" s="215" t="s">
        <v>9</v>
      </c>
      <c r="C1219" s="17" t="s">
        <v>180</v>
      </c>
      <c r="D1219" s="18" t="s">
        <v>54</v>
      </c>
      <c r="E1219" s="18">
        <v>12.87</v>
      </c>
      <c r="F1219" s="13"/>
      <c r="G1219" s="117">
        <v>0</v>
      </c>
      <c r="H1219" s="103"/>
      <c r="I1219" s="58">
        <f>E1219*G1219</f>
        <v>0</v>
      </c>
      <c r="J1219" s="1"/>
      <c r="K1219" s="1">
        <f>K1221++K1222</f>
        <v>12.87</v>
      </c>
    </row>
    <row r="1220" spans="1:11" x14ac:dyDescent="0.25">
      <c r="A1220" s="10" t="s">
        <v>97</v>
      </c>
      <c r="B1220" s="211" t="s">
        <v>13</v>
      </c>
      <c r="C1220" s="11" t="s">
        <v>165</v>
      </c>
      <c r="D1220" s="12" t="s">
        <v>38</v>
      </c>
      <c r="E1220" s="78">
        <f>2.25*E1219</f>
        <v>28.96</v>
      </c>
      <c r="F1220" s="14">
        <v>0</v>
      </c>
      <c r="G1220" s="102"/>
      <c r="H1220" s="113">
        <f>E1220*F1220</f>
        <v>0</v>
      </c>
      <c r="I1220" s="15"/>
      <c r="J1220" s="1"/>
      <c r="K1220" s="1"/>
    </row>
    <row r="1221" spans="1:11" x14ac:dyDescent="0.25">
      <c r="A1221" s="10" t="s">
        <v>98</v>
      </c>
      <c r="B1221" s="211" t="s">
        <v>13</v>
      </c>
      <c r="C1221" s="11" t="s">
        <v>283</v>
      </c>
      <c r="D1221" s="12" t="s">
        <v>58</v>
      </c>
      <c r="E1221" s="12">
        <v>1.3</v>
      </c>
      <c r="F1221" s="14">
        <v>0</v>
      </c>
      <c r="G1221" s="102"/>
      <c r="H1221" s="113">
        <f>E1221*F1221</f>
        <v>0</v>
      </c>
      <c r="I1221" s="15"/>
      <c r="J1221" s="1"/>
      <c r="K1221" s="1">
        <f>2.3*E1221</f>
        <v>2.99</v>
      </c>
    </row>
    <row r="1222" spans="1:11" x14ac:dyDescent="0.25">
      <c r="A1222" s="10" t="s">
        <v>414</v>
      </c>
      <c r="B1222" s="211" t="s">
        <v>13</v>
      </c>
      <c r="C1222" s="11" t="s">
        <v>284</v>
      </c>
      <c r="D1222" s="12" t="s">
        <v>14</v>
      </c>
      <c r="E1222" s="12">
        <v>19</v>
      </c>
      <c r="F1222" s="14">
        <v>0</v>
      </c>
      <c r="G1222" s="102"/>
      <c r="H1222" s="113">
        <f>E1222*F1222</f>
        <v>0</v>
      </c>
      <c r="I1222" s="15"/>
      <c r="J1222" s="1"/>
      <c r="K1222" s="1">
        <f>0.52*E1222</f>
        <v>9.8800000000000008</v>
      </c>
    </row>
    <row r="1223" spans="1:11" ht="42.75" x14ac:dyDescent="0.25">
      <c r="A1223" s="16" t="s">
        <v>99</v>
      </c>
      <c r="B1223" s="215" t="s">
        <v>9</v>
      </c>
      <c r="C1223" s="17" t="s">
        <v>285</v>
      </c>
      <c r="D1223" s="18" t="s">
        <v>54</v>
      </c>
      <c r="E1223" s="18">
        <v>161.58000000000001</v>
      </c>
      <c r="F1223" s="13"/>
      <c r="G1223" s="117">
        <v>0</v>
      </c>
      <c r="H1223" s="103"/>
      <c r="I1223" s="58">
        <f>E1223*G1223</f>
        <v>0</v>
      </c>
      <c r="J1223" s="1"/>
      <c r="K1223" s="1">
        <f>K1225+K1226+K1227+K1228+K1229</f>
        <v>161.58000000000001</v>
      </c>
    </row>
    <row r="1224" spans="1:11" x14ac:dyDescent="0.25">
      <c r="A1224" s="10" t="s">
        <v>100</v>
      </c>
      <c r="B1224" s="211" t="s">
        <v>13</v>
      </c>
      <c r="C1224" s="11" t="s">
        <v>165</v>
      </c>
      <c r="D1224" s="12" t="s">
        <v>38</v>
      </c>
      <c r="E1224" s="78">
        <f>2.25*E1223</f>
        <v>363.56</v>
      </c>
      <c r="F1224" s="14">
        <v>0</v>
      </c>
      <c r="G1224" s="102"/>
      <c r="H1224" s="113">
        <f t="shared" ref="H1224:H1229" si="101">E1224*F1224</f>
        <v>0</v>
      </c>
      <c r="I1224" s="15"/>
      <c r="J1224" s="1"/>
      <c r="K1224" s="1"/>
    </row>
    <row r="1225" spans="1:11" x14ac:dyDescent="0.25">
      <c r="A1225" s="10" t="s">
        <v>102</v>
      </c>
      <c r="B1225" s="211" t="s">
        <v>13</v>
      </c>
      <c r="C1225" s="11" t="s">
        <v>364</v>
      </c>
      <c r="D1225" s="12" t="s">
        <v>58</v>
      </c>
      <c r="E1225" s="12">
        <v>55.4</v>
      </c>
      <c r="F1225" s="14">
        <v>0</v>
      </c>
      <c r="G1225" s="102"/>
      <c r="H1225" s="113">
        <f t="shared" si="101"/>
        <v>0</v>
      </c>
      <c r="I1225" s="15"/>
      <c r="J1225" s="1"/>
      <c r="K1225" s="1">
        <f>2.8*E1225</f>
        <v>155.12</v>
      </c>
    </row>
    <row r="1226" spans="1:11" x14ac:dyDescent="0.25">
      <c r="A1226" s="10" t="s">
        <v>103</v>
      </c>
      <c r="B1226" s="211" t="s">
        <v>13</v>
      </c>
      <c r="C1226" s="70" t="s">
        <v>353</v>
      </c>
      <c r="D1226" s="12" t="s">
        <v>14</v>
      </c>
      <c r="E1226" s="12">
        <v>1</v>
      </c>
      <c r="F1226" s="14">
        <v>0</v>
      </c>
      <c r="G1226" s="102"/>
      <c r="H1226" s="113">
        <f t="shared" si="101"/>
        <v>0</v>
      </c>
      <c r="I1226" s="15"/>
      <c r="J1226" s="1"/>
      <c r="K1226" s="1">
        <f>0.54*E1226</f>
        <v>0.54</v>
      </c>
    </row>
    <row r="1227" spans="1:11" x14ac:dyDescent="0.25">
      <c r="A1227" s="10" t="s">
        <v>104</v>
      </c>
      <c r="B1227" s="211" t="s">
        <v>13</v>
      </c>
      <c r="C1227" s="70" t="s">
        <v>354</v>
      </c>
      <c r="D1227" s="12" t="s">
        <v>14</v>
      </c>
      <c r="E1227" s="12">
        <v>1</v>
      </c>
      <c r="F1227" s="14">
        <v>0</v>
      </c>
      <c r="G1227" s="102"/>
      <c r="H1227" s="113">
        <f t="shared" si="101"/>
        <v>0</v>
      </c>
      <c r="I1227" s="15"/>
      <c r="J1227" s="1"/>
      <c r="K1227" s="1">
        <f>1.71*E1227</f>
        <v>1.71</v>
      </c>
    </row>
    <row r="1228" spans="1:11" x14ac:dyDescent="0.25">
      <c r="A1228" s="10" t="s">
        <v>451</v>
      </c>
      <c r="B1228" s="211" t="s">
        <v>13</v>
      </c>
      <c r="C1228" s="11" t="s">
        <v>355</v>
      </c>
      <c r="D1228" s="12" t="s">
        <v>14</v>
      </c>
      <c r="E1228" s="12">
        <v>1</v>
      </c>
      <c r="F1228" s="14">
        <v>0</v>
      </c>
      <c r="G1228" s="102"/>
      <c r="H1228" s="113">
        <f t="shared" si="101"/>
        <v>0</v>
      </c>
      <c r="I1228" s="15"/>
      <c r="J1228" s="1"/>
      <c r="K1228" s="1">
        <f>3.03*E1228</f>
        <v>3.03</v>
      </c>
    </row>
    <row r="1229" spans="1:11" ht="30" x14ac:dyDescent="0.25">
      <c r="A1229" s="10" t="s">
        <v>452</v>
      </c>
      <c r="B1229" s="211" t="s">
        <v>13</v>
      </c>
      <c r="C1229" s="70" t="s">
        <v>356</v>
      </c>
      <c r="D1229" s="12" t="s">
        <v>14</v>
      </c>
      <c r="E1229" s="12">
        <v>1</v>
      </c>
      <c r="F1229" s="14">
        <v>0</v>
      </c>
      <c r="G1229" s="102"/>
      <c r="H1229" s="113">
        <f t="shared" si="101"/>
        <v>0</v>
      </c>
      <c r="I1229" s="15"/>
      <c r="J1229" s="1"/>
      <c r="K1229" s="1">
        <v>1.18</v>
      </c>
    </row>
    <row r="1230" spans="1:11" ht="42.75" x14ac:dyDescent="0.25">
      <c r="A1230" s="18">
        <v>21</v>
      </c>
      <c r="B1230" s="215" t="s">
        <v>9</v>
      </c>
      <c r="C1230" s="295" t="s">
        <v>291</v>
      </c>
      <c r="D1230" s="18" t="s">
        <v>54</v>
      </c>
      <c r="E1230" s="18">
        <v>3.59</v>
      </c>
      <c r="F1230" s="13"/>
      <c r="G1230" s="117">
        <v>0</v>
      </c>
      <c r="H1230" s="103"/>
      <c r="I1230" s="58">
        <f>E1230*G1230</f>
        <v>0</v>
      </c>
      <c r="J1230" s="1"/>
      <c r="K1230" s="1">
        <f>K1232+K1233+K1234</f>
        <v>3.59</v>
      </c>
    </row>
    <row r="1231" spans="1:11" x14ac:dyDescent="0.25">
      <c r="A1231" s="10" t="s">
        <v>149</v>
      </c>
      <c r="B1231" s="211" t="s">
        <v>13</v>
      </c>
      <c r="C1231" s="11" t="s">
        <v>165</v>
      </c>
      <c r="D1231" s="12" t="s">
        <v>38</v>
      </c>
      <c r="E1231" s="78">
        <f>1.22*E1230</f>
        <v>4.38</v>
      </c>
      <c r="F1231" s="14">
        <v>0</v>
      </c>
      <c r="G1231" s="102"/>
      <c r="H1231" s="113">
        <f>E1231*F1231</f>
        <v>0</v>
      </c>
      <c r="I1231" s="15"/>
      <c r="J1231" s="1"/>
      <c r="K1231" s="1"/>
    </row>
    <row r="1232" spans="1:11" ht="30" x14ac:dyDescent="0.25">
      <c r="A1232" s="10" t="s">
        <v>139</v>
      </c>
      <c r="B1232" s="211" t="s">
        <v>13</v>
      </c>
      <c r="C1232" s="277" t="s">
        <v>292</v>
      </c>
      <c r="D1232" s="12" t="s">
        <v>58</v>
      </c>
      <c r="E1232" s="12">
        <v>0.8</v>
      </c>
      <c r="F1232" s="14">
        <v>0</v>
      </c>
      <c r="G1232" s="102"/>
      <c r="H1232" s="113">
        <f t="shared" ref="H1232:H1235" si="102">E1232*F1232</f>
        <v>0</v>
      </c>
      <c r="I1232" s="15"/>
      <c r="J1232" s="1"/>
      <c r="K1232" s="1">
        <v>1.41</v>
      </c>
    </row>
    <row r="1233" spans="1:11" x14ac:dyDescent="0.25">
      <c r="A1233" s="10" t="s">
        <v>140</v>
      </c>
      <c r="B1233" s="211" t="s">
        <v>13</v>
      </c>
      <c r="C1233" s="70" t="s">
        <v>293</v>
      </c>
      <c r="D1233" s="12" t="s">
        <v>14</v>
      </c>
      <c r="E1233" s="12">
        <v>2</v>
      </c>
      <c r="F1233" s="14">
        <v>0</v>
      </c>
      <c r="G1233" s="102"/>
      <c r="H1233" s="113">
        <f t="shared" si="102"/>
        <v>0</v>
      </c>
      <c r="I1233" s="15"/>
      <c r="J1233" s="1"/>
      <c r="K1233" s="1">
        <f>1*E1233</f>
        <v>2</v>
      </c>
    </row>
    <row r="1234" spans="1:11" x14ac:dyDescent="0.25">
      <c r="A1234" s="10" t="s">
        <v>141</v>
      </c>
      <c r="B1234" s="211" t="s">
        <v>13</v>
      </c>
      <c r="C1234" s="70" t="s">
        <v>294</v>
      </c>
      <c r="D1234" s="20" t="s">
        <v>14</v>
      </c>
      <c r="E1234" s="20">
        <v>1</v>
      </c>
      <c r="F1234" s="14">
        <v>0</v>
      </c>
      <c r="G1234" s="102"/>
      <c r="H1234" s="113">
        <f t="shared" si="102"/>
        <v>0</v>
      </c>
      <c r="I1234" s="15"/>
      <c r="J1234" s="1"/>
      <c r="K1234" s="1">
        <v>0.18</v>
      </c>
    </row>
    <row r="1235" spans="1:11" x14ac:dyDescent="0.25">
      <c r="A1235" s="10" t="s">
        <v>453</v>
      </c>
      <c r="B1235" s="229" t="s">
        <v>13</v>
      </c>
      <c r="C1235" s="70" t="s">
        <v>295</v>
      </c>
      <c r="D1235" s="20" t="s">
        <v>14</v>
      </c>
      <c r="E1235" s="20">
        <v>1</v>
      </c>
      <c r="F1235" s="14">
        <v>0</v>
      </c>
      <c r="G1235" s="102"/>
      <c r="H1235" s="113">
        <f t="shared" si="102"/>
        <v>0</v>
      </c>
      <c r="I1235" s="15"/>
      <c r="J1235" s="1"/>
      <c r="K1235" s="1"/>
    </row>
    <row r="1236" spans="1:11" ht="28.5" x14ac:dyDescent="0.25">
      <c r="A1236" s="16" t="s">
        <v>108</v>
      </c>
      <c r="B1236" s="228" t="s">
        <v>9</v>
      </c>
      <c r="C1236" s="17" t="s">
        <v>211</v>
      </c>
      <c r="D1236" s="19" t="s">
        <v>54</v>
      </c>
      <c r="E1236" s="18">
        <v>170.6</v>
      </c>
      <c r="F1236" s="28"/>
      <c r="G1236" s="117">
        <v>0</v>
      </c>
      <c r="H1236" s="103"/>
      <c r="I1236" s="58">
        <f>E1236*G1236</f>
        <v>0</v>
      </c>
      <c r="J1236" s="1"/>
      <c r="K1236" s="1"/>
    </row>
    <row r="1237" spans="1:11" x14ac:dyDescent="0.25">
      <c r="A1237" s="10" t="s">
        <v>106</v>
      </c>
      <c r="B1237" s="229" t="s">
        <v>13</v>
      </c>
      <c r="C1237" s="188" t="s">
        <v>209</v>
      </c>
      <c r="D1237" s="90" t="s">
        <v>54</v>
      </c>
      <c r="E1237" s="12">
        <f>1.1*E1236</f>
        <v>187.66</v>
      </c>
      <c r="F1237" s="33">
        <v>0</v>
      </c>
      <c r="G1237" s="102"/>
      <c r="H1237" s="113">
        <f>E1237*F1237</f>
        <v>0</v>
      </c>
      <c r="I1237" s="15"/>
      <c r="J1237" s="1"/>
      <c r="K1237" s="1"/>
    </row>
    <row r="1238" spans="1:11" ht="15.75" thickBot="1" x14ac:dyDescent="0.3">
      <c r="A1238" s="54" t="s">
        <v>107</v>
      </c>
      <c r="B1238" s="200" t="s">
        <v>13</v>
      </c>
      <c r="C1238" s="55" t="s">
        <v>266</v>
      </c>
      <c r="D1238" s="94" t="s">
        <v>38</v>
      </c>
      <c r="E1238" s="141">
        <f>0.7*E1236</f>
        <v>119.42</v>
      </c>
      <c r="F1238" s="186">
        <v>0</v>
      </c>
      <c r="G1238" s="114"/>
      <c r="H1238" s="120">
        <f>E1238*F1238</f>
        <v>0</v>
      </c>
      <c r="I1238" s="127"/>
      <c r="J1238" s="1"/>
      <c r="K1238" s="1"/>
    </row>
    <row r="1239" spans="1:11" ht="15.75" thickBot="1" x14ac:dyDescent="0.3">
      <c r="A1239" s="45"/>
      <c r="B1239" s="216"/>
      <c r="C1239" s="268" t="s">
        <v>417</v>
      </c>
      <c r="D1239" s="48"/>
      <c r="E1239" s="48"/>
      <c r="F1239" s="132"/>
      <c r="G1239" s="109"/>
      <c r="H1239" s="121">
        <f>SUM(H1212:H1238)</f>
        <v>0</v>
      </c>
      <c r="I1239" s="86">
        <f>SUM(I1211:I1238)</f>
        <v>0</v>
      </c>
      <c r="J1239" s="1"/>
      <c r="K1239" s="1"/>
    </row>
    <row r="1240" spans="1:11" ht="15.75" thickBot="1" x14ac:dyDescent="0.3">
      <c r="A1240" s="85"/>
      <c r="B1240" s="249"/>
      <c r="C1240" s="47" t="s">
        <v>728</v>
      </c>
      <c r="D1240" s="3"/>
      <c r="E1240" s="85"/>
      <c r="F1240" s="99"/>
      <c r="G1240" s="109"/>
      <c r="H1240" s="121"/>
      <c r="I1240" s="52"/>
      <c r="J1240" s="1"/>
      <c r="K1240" s="1"/>
    </row>
    <row r="1241" spans="1:11" ht="28.5" x14ac:dyDescent="0.25">
      <c r="A1241" s="97" t="s">
        <v>109</v>
      </c>
      <c r="B1241" s="232" t="s">
        <v>9</v>
      </c>
      <c r="C1241" s="5" t="s">
        <v>297</v>
      </c>
      <c r="D1241" s="53" t="s">
        <v>14</v>
      </c>
      <c r="E1241" s="4">
        <v>1</v>
      </c>
      <c r="F1241" s="96"/>
      <c r="G1241" s="172">
        <v>0</v>
      </c>
      <c r="H1241" s="6"/>
      <c r="I1241" s="42">
        <f>E1241*G1241</f>
        <v>0</v>
      </c>
      <c r="J1241" s="1"/>
      <c r="K1241" s="1"/>
    </row>
    <row r="1242" spans="1:11" x14ac:dyDescent="0.25">
      <c r="A1242" s="112" t="s">
        <v>110</v>
      </c>
      <c r="B1242" s="233" t="s">
        <v>13</v>
      </c>
      <c r="C1242" s="128" t="s">
        <v>624</v>
      </c>
      <c r="D1242" s="90" t="s">
        <v>14</v>
      </c>
      <c r="E1242" s="125">
        <v>1</v>
      </c>
      <c r="F1242" s="63">
        <v>0</v>
      </c>
      <c r="G1242" s="101"/>
      <c r="H1242" s="126">
        <f>E1242*F1242</f>
        <v>0</v>
      </c>
      <c r="I1242" s="119"/>
      <c r="J1242" s="1"/>
      <c r="K1242" s="1"/>
    </row>
    <row r="1243" spans="1:11" x14ac:dyDescent="0.25">
      <c r="A1243" s="16" t="s">
        <v>112</v>
      </c>
      <c r="B1243" s="217" t="s">
        <v>9</v>
      </c>
      <c r="C1243" s="21" t="s">
        <v>30</v>
      </c>
      <c r="D1243" s="22" t="s">
        <v>14</v>
      </c>
      <c r="E1243" s="22">
        <v>1</v>
      </c>
      <c r="F1243" s="23"/>
      <c r="G1243" s="118">
        <v>0</v>
      </c>
      <c r="H1243" s="103"/>
      <c r="I1243" s="24">
        <f>E1243*G1243</f>
        <v>0</v>
      </c>
      <c r="J1243" s="1"/>
      <c r="K1243" s="1"/>
    </row>
    <row r="1244" spans="1:11" ht="30" x14ac:dyDescent="0.25">
      <c r="A1244" s="10" t="s">
        <v>113</v>
      </c>
      <c r="B1244" s="218" t="s">
        <v>13</v>
      </c>
      <c r="C1244" s="128" t="s">
        <v>625</v>
      </c>
      <c r="D1244" s="25" t="s">
        <v>14</v>
      </c>
      <c r="E1244" s="25">
        <v>1</v>
      </c>
      <c r="F1244" s="147">
        <v>0</v>
      </c>
      <c r="G1244" s="369"/>
      <c r="H1244" s="148">
        <f>E1244*F1244</f>
        <v>0</v>
      </c>
      <c r="I1244" s="15"/>
      <c r="J1244" s="1"/>
      <c r="K1244" s="1"/>
    </row>
    <row r="1245" spans="1:11" ht="28.5" x14ac:dyDescent="0.25">
      <c r="A1245" s="16" t="s">
        <v>478</v>
      </c>
      <c r="B1245" s="212" t="s">
        <v>9</v>
      </c>
      <c r="C1245" s="295" t="s">
        <v>803</v>
      </c>
      <c r="D1245" s="18" t="s">
        <v>472</v>
      </c>
      <c r="E1245" s="18">
        <v>5</v>
      </c>
      <c r="F1245" s="13"/>
      <c r="G1245" s="117">
        <v>0</v>
      </c>
      <c r="H1245" s="103"/>
      <c r="I1245" s="58">
        <f>E1245*G1245</f>
        <v>0</v>
      </c>
      <c r="J1245" s="1"/>
      <c r="K1245" s="1"/>
    </row>
    <row r="1246" spans="1:11" ht="42.75" x14ac:dyDescent="0.25">
      <c r="A1246" s="16" t="s">
        <v>115</v>
      </c>
      <c r="B1246" s="215" t="s">
        <v>9</v>
      </c>
      <c r="C1246" s="17" t="s">
        <v>285</v>
      </c>
      <c r="D1246" s="18" t="s">
        <v>54</v>
      </c>
      <c r="E1246" s="18">
        <v>172</v>
      </c>
      <c r="F1246" s="13"/>
      <c r="G1246" s="117">
        <v>0</v>
      </c>
      <c r="H1246" s="103"/>
      <c r="I1246" s="58">
        <f>E1246*G1246</f>
        <v>0</v>
      </c>
      <c r="J1246" s="1"/>
      <c r="K1246" s="1">
        <f>SUM(K1248:K1253)</f>
        <v>172.00200000000001</v>
      </c>
    </row>
    <row r="1247" spans="1:11" x14ac:dyDescent="0.25">
      <c r="A1247" s="10" t="s">
        <v>116</v>
      </c>
      <c r="B1247" s="211" t="s">
        <v>13</v>
      </c>
      <c r="C1247" s="11" t="s">
        <v>165</v>
      </c>
      <c r="D1247" s="12" t="s">
        <v>38</v>
      </c>
      <c r="E1247" s="78">
        <f>2.25*E1246</f>
        <v>387</v>
      </c>
      <c r="F1247" s="14">
        <v>0</v>
      </c>
      <c r="G1247" s="102"/>
      <c r="H1247" s="113">
        <f t="shared" ref="H1247:H1253" si="103">E1247*F1247</f>
        <v>0</v>
      </c>
      <c r="I1247" s="15"/>
      <c r="J1247" s="1"/>
      <c r="K1247" s="1"/>
    </row>
    <row r="1248" spans="1:11" ht="30" x14ac:dyDescent="0.25">
      <c r="A1248" s="10" t="s">
        <v>117</v>
      </c>
      <c r="B1248" s="211" t="s">
        <v>13</v>
      </c>
      <c r="C1248" s="11" t="s">
        <v>626</v>
      </c>
      <c r="D1248" s="12" t="s">
        <v>58</v>
      </c>
      <c r="E1248" s="12">
        <v>0.8</v>
      </c>
      <c r="F1248" s="14">
        <v>0</v>
      </c>
      <c r="G1248" s="102"/>
      <c r="H1248" s="113">
        <f t="shared" si="103"/>
        <v>0</v>
      </c>
      <c r="I1248" s="15"/>
      <c r="J1248" s="1"/>
      <c r="K1248" s="1">
        <f>2.84*E1248</f>
        <v>2.2719999999999998</v>
      </c>
    </row>
    <row r="1249" spans="1:11" x14ac:dyDescent="0.25">
      <c r="A1249" s="10" t="s">
        <v>142</v>
      </c>
      <c r="B1249" s="220" t="s">
        <v>13</v>
      </c>
      <c r="C1249" s="30" t="s">
        <v>286</v>
      </c>
      <c r="D1249" s="31" t="s">
        <v>58</v>
      </c>
      <c r="E1249" s="32">
        <v>54.9</v>
      </c>
      <c r="F1249" s="33">
        <v>0</v>
      </c>
      <c r="G1249" s="102"/>
      <c r="H1249" s="113">
        <f t="shared" si="103"/>
        <v>0</v>
      </c>
      <c r="I1249" s="15"/>
      <c r="J1249" s="1"/>
      <c r="K1249" s="1">
        <f>2.6*E1249</f>
        <v>142.74</v>
      </c>
    </row>
    <row r="1250" spans="1:11" x14ac:dyDescent="0.25">
      <c r="A1250" s="10" t="s">
        <v>143</v>
      </c>
      <c r="B1250" s="220" t="s">
        <v>13</v>
      </c>
      <c r="C1250" s="30" t="s">
        <v>299</v>
      </c>
      <c r="D1250" s="31" t="s">
        <v>14</v>
      </c>
      <c r="E1250" s="32">
        <v>19</v>
      </c>
      <c r="F1250" s="33">
        <v>0</v>
      </c>
      <c r="G1250" s="102"/>
      <c r="H1250" s="113">
        <f t="shared" si="103"/>
        <v>0</v>
      </c>
      <c r="I1250" s="15"/>
      <c r="J1250" s="1"/>
      <c r="K1250" s="1">
        <f>1.08*E1250</f>
        <v>20.52</v>
      </c>
    </row>
    <row r="1251" spans="1:11" x14ac:dyDescent="0.25">
      <c r="A1251" s="10" t="s">
        <v>415</v>
      </c>
      <c r="B1251" s="220" t="s">
        <v>13</v>
      </c>
      <c r="C1251" s="30" t="s">
        <v>300</v>
      </c>
      <c r="D1251" s="31" t="s">
        <v>14</v>
      </c>
      <c r="E1251" s="32">
        <v>1</v>
      </c>
      <c r="F1251" s="33">
        <v>0</v>
      </c>
      <c r="G1251" s="102"/>
      <c r="H1251" s="113">
        <f t="shared" si="103"/>
        <v>0</v>
      </c>
      <c r="I1251" s="15"/>
      <c r="J1251" s="1"/>
      <c r="K1251" s="1">
        <f>0.53*E1251</f>
        <v>0.53</v>
      </c>
    </row>
    <row r="1252" spans="1:11" x14ac:dyDescent="0.25">
      <c r="A1252" s="10" t="s">
        <v>416</v>
      </c>
      <c r="B1252" s="220" t="s">
        <v>13</v>
      </c>
      <c r="C1252" s="30" t="s">
        <v>627</v>
      </c>
      <c r="D1252" s="31" t="s">
        <v>14</v>
      </c>
      <c r="E1252" s="32">
        <v>1</v>
      </c>
      <c r="F1252" s="33">
        <v>0</v>
      </c>
      <c r="G1252" s="102"/>
      <c r="H1252" s="113">
        <f t="shared" si="103"/>
        <v>0</v>
      </c>
      <c r="I1252" s="15"/>
      <c r="J1252" s="1"/>
      <c r="K1252" s="1">
        <f>0.48*E1252</f>
        <v>0.48</v>
      </c>
    </row>
    <row r="1253" spans="1:11" ht="30" x14ac:dyDescent="0.25">
      <c r="A1253" s="10" t="s">
        <v>454</v>
      </c>
      <c r="B1253" s="220" t="s">
        <v>13</v>
      </c>
      <c r="C1253" s="30" t="s">
        <v>301</v>
      </c>
      <c r="D1253" s="31" t="s">
        <v>14</v>
      </c>
      <c r="E1253" s="32">
        <v>6</v>
      </c>
      <c r="F1253" s="33">
        <v>0</v>
      </c>
      <c r="G1253" s="102"/>
      <c r="H1253" s="113">
        <f t="shared" si="103"/>
        <v>0</v>
      </c>
      <c r="I1253" s="15"/>
      <c r="J1253" s="1"/>
      <c r="K1253" s="1">
        <f>0.91*E1253</f>
        <v>5.46</v>
      </c>
    </row>
    <row r="1254" spans="1:11" ht="42.75" x14ac:dyDescent="0.25">
      <c r="A1254" s="18">
        <v>26</v>
      </c>
      <c r="B1254" s="221" t="s">
        <v>9</v>
      </c>
      <c r="C1254" s="17" t="s">
        <v>180</v>
      </c>
      <c r="D1254" s="18" t="s">
        <v>54</v>
      </c>
      <c r="E1254" s="18">
        <v>5.52</v>
      </c>
      <c r="F1254" s="13"/>
      <c r="G1254" s="117">
        <v>0</v>
      </c>
      <c r="H1254" s="103"/>
      <c r="I1254" s="58">
        <f>E1254*G1254</f>
        <v>0</v>
      </c>
      <c r="J1254" s="1"/>
      <c r="K1254" s="1"/>
    </row>
    <row r="1255" spans="1:11" x14ac:dyDescent="0.25">
      <c r="A1255" s="29" t="s">
        <v>119</v>
      </c>
      <c r="B1255" s="220" t="s">
        <v>13</v>
      </c>
      <c r="C1255" s="11" t="s">
        <v>165</v>
      </c>
      <c r="D1255" s="12" t="s">
        <v>38</v>
      </c>
      <c r="E1255" s="78">
        <f>2.25*E1254</f>
        <v>12.42</v>
      </c>
      <c r="F1255" s="14">
        <v>0</v>
      </c>
      <c r="G1255" s="102"/>
      <c r="H1255" s="113">
        <f>E1255*F1255</f>
        <v>0</v>
      </c>
      <c r="I1255" s="15"/>
      <c r="J1255" s="1"/>
      <c r="K1255" s="1"/>
    </row>
    <row r="1256" spans="1:11" x14ac:dyDescent="0.25">
      <c r="A1256" s="10" t="s">
        <v>120</v>
      </c>
      <c r="B1256" s="220" t="s">
        <v>13</v>
      </c>
      <c r="C1256" s="11" t="s">
        <v>298</v>
      </c>
      <c r="D1256" s="20" t="s">
        <v>58</v>
      </c>
      <c r="E1256" s="12">
        <v>2.2999999999999998</v>
      </c>
      <c r="F1256" s="14">
        <v>0</v>
      </c>
      <c r="G1256" s="102"/>
      <c r="H1256" s="113">
        <f>E1256*F1256</f>
        <v>0</v>
      </c>
      <c r="I1256" s="15"/>
      <c r="J1256" s="1"/>
      <c r="K1256" s="1">
        <f>2.4*E1256</f>
        <v>5.52</v>
      </c>
    </row>
    <row r="1257" spans="1:11" ht="28.5" x14ac:dyDescent="0.25">
      <c r="A1257" s="18">
        <v>27</v>
      </c>
      <c r="B1257" s="221" t="s">
        <v>9</v>
      </c>
      <c r="C1257" s="17" t="s">
        <v>52</v>
      </c>
      <c r="D1257" s="19" t="s">
        <v>14</v>
      </c>
      <c r="E1257" s="18">
        <v>19</v>
      </c>
      <c r="F1257" s="28"/>
      <c r="G1257" s="117">
        <v>0</v>
      </c>
      <c r="H1257" s="103"/>
      <c r="I1257" s="58">
        <f>E1257*G1257</f>
        <v>0</v>
      </c>
      <c r="J1257" s="1"/>
      <c r="K1257" s="1"/>
    </row>
    <row r="1258" spans="1:11" ht="45" x14ac:dyDescent="0.25">
      <c r="A1258" s="29" t="s">
        <v>123</v>
      </c>
      <c r="B1258" s="220" t="s">
        <v>13</v>
      </c>
      <c r="C1258" s="30" t="s">
        <v>463</v>
      </c>
      <c r="D1258" s="31" t="s">
        <v>14</v>
      </c>
      <c r="E1258" s="32">
        <v>19</v>
      </c>
      <c r="F1258" s="33">
        <v>0</v>
      </c>
      <c r="G1258" s="102"/>
      <c r="H1258" s="113">
        <f>E1258*F1258</f>
        <v>0</v>
      </c>
      <c r="I1258" s="15"/>
      <c r="J1258" s="1"/>
      <c r="K1258" s="1"/>
    </row>
    <row r="1259" spans="1:11" ht="28.5" x14ac:dyDescent="0.25">
      <c r="A1259" s="173" t="s">
        <v>125</v>
      </c>
      <c r="B1259" s="234" t="s">
        <v>9</v>
      </c>
      <c r="C1259" s="17" t="s">
        <v>211</v>
      </c>
      <c r="D1259" s="19" t="s">
        <v>54</v>
      </c>
      <c r="E1259" s="18">
        <v>160.19999999999999</v>
      </c>
      <c r="F1259" s="28"/>
      <c r="G1259" s="117">
        <v>0</v>
      </c>
      <c r="H1259" s="103"/>
      <c r="I1259" s="58">
        <f>E1259*G1259</f>
        <v>0</v>
      </c>
      <c r="J1259" s="1"/>
      <c r="K1259" s="1"/>
    </row>
    <row r="1260" spans="1:11" x14ac:dyDescent="0.25">
      <c r="A1260" s="29" t="s">
        <v>126</v>
      </c>
      <c r="B1260" s="220" t="s">
        <v>13</v>
      </c>
      <c r="C1260" s="188" t="s">
        <v>209</v>
      </c>
      <c r="D1260" s="90" t="s">
        <v>54</v>
      </c>
      <c r="E1260" s="12">
        <f>1.1*E1259</f>
        <v>176.22</v>
      </c>
      <c r="F1260" s="33">
        <v>0</v>
      </c>
      <c r="G1260" s="102"/>
      <c r="H1260" s="113">
        <f>E1260*F1260</f>
        <v>0</v>
      </c>
      <c r="I1260" s="15"/>
      <c r="J1260" s="1"/>
      <c r="K1260" s="1"/>
    </row>
    <row r="1261" spans="1:11" ht="15.75" thickBot="1" x14ac:dyDescent="0.3">
      <c r="A1261" s="129" t="s">
        <v>791</v>
      </c>
      <c r="B1261" s="381" t="s">
        <v>13</v>
      </c>
      <c r="C1261" s="55" t="s">
        <v>266</v>
      </c>
      <c r="D1261" s="94" t="s">
        <v>38</v>
      </c>
      <c r="E1261" s="141">
        <f>0.7*E1259</f>
        <v>112.14</v>
      </c>
      <c r="F1261" s="186">
        <v>0</v>
      </c>
      <c r="G1261" s="114"/>
      <c r="H1261" s="120">
        <f>E1261*F1261</f>
        <v>0</v>
      </c>
      <c r="I1261" s="127"/>
      <c r="J1261" s="1"/>
      <c r="K1261" s="1"/>
    </row>
    <row r="1262" spans="1:11" ht="15.75" thickBot="1" x14ac:dyDescent="0.3">
      <c r="A1262" s="83"/>
      <c r="B1262" s="241"/>
      <c r="C1262" s="270" t="s">
        <v>417</v>
      </c>
      <c r="D1262" s="48"/>
      <c r="E1262" s="48"/>
      <c r="F1262" s="144"/>
      <c r="G1262" s="52"/>
      <c r="H1262" s="99">
        <f>SUM(H1242:H1261)</f>
        <v>0</v>
      </c>
      <c r="I1262" s="86">
        <f>SUM(I1241:I1261)</f>
        <v>0</v>
      </c>
      <c r="J1262" s="1"/>
      <c r="K1262" s="1"/>
    </row>
    <row r="1263" spans="1:11" ht="15.75" thickBot="1" x14ac:dyDescent="0.3">
      <c r="A1263" s="45"/>
      <c r="B1263" s="216"/>
      <c r="C1263" s="47" t="s">
        <v>729</v>
      </c>
      <c r="D1263" s="48"/>
      <c r="E1263" s="48"/>
      <c r="F1263" s="144"/>
      <c r="G1263" s="52"/>
      <c r="H1263" s="132"/>
      <c r="I1263" s="52"/>
      <c r="J1263" s="1"/>
      <c r="K1263" s="1"/>
    </row>
    <row r="1264" spans="1:11" ht="28.5" x14ac:dyDescent="0.25">
      <c r="A1264" s="97" t="s">
        <v>127</v>
      </c>
      <c r="B1264" s="232" t="s">
        <v>9</v>
      </c>
      <c r="C1264" s="5" t="s">
        <v>297</v>
      </c>
      <c r="D1264" s="53" t="s">
        <v>14</v>
      </c>
      <c r="E1264" s="4">
        <v>1</v>
      </c>
      <c r="F1264" s="96"/>
      <c r="G1264" s="172">
        <v>0</v>
      </c>
      <c r="H1264" s="6"/>
      <c r="I1264" s="42">
        <f>E1264*G1264</f>
        <v>0</v>
      </c>
      <c r="J1264" s="1"/>
      <c r="K1264" s="1"/>
    </row>
    <row r="1265" spans="1:11" x14ac:dyDescent="0.25">
      <c r="A1265" s="112" t="s">
        <v>128</v>
      </c>
      <c r="B1265" s="233" t="s">
        <v>13</v>
      </c>
      <c r="C1265" s="128" t="s">
        <v>361</v>
      </c>
      <c r="D1265" s="90" t="s">
        <v>14</v>
      </c>
      <c r="E1265" s="125">
        <v>1</v>
      </c>
      <c r="F1265" s="63">
        <v>0</v>
      </c>
      <c r="G1265" s="101"/>
      <c r="H1265" s="126">
        <f>E1265*F1265</f>
        <v>0</v>
      </c>
      <c r="I1265" s="119"/>
      <c r="J1265" s="1"/>
      <c r="K1265" s="1"/>
    </row>
    <row r="1266" spans="1:11" x14ac:dyDescent="0.25">
      <c r="A1266" s="16" t="s">
        <v>129</v>
      </c>
      <c r="B1266" s="217" t="s">
        <v>9</v>
      </c>
      <c r="C1266" s="21" t="s">
        <v>30</v>
      </c>
      <c r="D1266" s="22" t="s">
        <v>14</v>
      </c>
      <c r="E1266" s="22">
        <v>1</v>
      </c>
      <c r="F1266" s="23"/>
      <c r="G1266" s="118">
        <v>0</v>
      </c>
      <c r="H1266" s="103"/>
      <c r="I1266" s="24">
        <f>E1266*G1266</f>
        <v>0</v>
      </c>
      <c r="J1266" s="1"/>
      <c r="K1266" s="1"/>
    </row>
    <row r="1267" spans="1:11" ht="30" x14ac:dyDescent="0.25">
      <c r="A1267" s="10" t="s">
        <v>130</v>
      </c>
      <c r="B1267" s="218" t="s">
        <v>13</v>
      </c>
      <c r="C1267" s="128" t="s">
        <v>362</v>
      </c>
      <c r="D1267" s="25" t="s">
        <v>14</v>
      </c>
      <c r="E1267" s="25">
        <v>1</v>
      </c>
      <c r="F1267" s="147">
        <v>0</v>
      </c>
      <c r="G1267" s="369"/>
      <c r="H1267" s="148">
        <f>E1267*F1267</f>
        <v>0</v>
      </c>
      <c r="I1267" s="15"/>
      <c r="J1267" s="1"/>
      <c r="K1267" s="1"/>
    </row>
    <row r="1268" spans="1:11" ht="28.5" x14ac:dyDescent="0.25">
      <c r="A1268" s="16" t="s">
        <v>810</v>
      </c>
      <c r="B1268" s="212" t="s">
        <v>9</v>
      </c>
      <c r="C1268" s="295" t="s">
        <v>803</v>
      </c>
      <c r="D1268" s="18" t="s">
        <v>472</v>
      </c>
      <c r="E1268" s="18">
        <v>5</v>
      </c>
      <c r="F1268" s="13"/>
      <c r="G1268" s="117">
        <v>0</v>
      </c>
      <c r="H1268" s="103"/>
      <c r="I1268" s="58">
        <f>E1268*G1268</f>
        <v>0</v>
      </c>
      <c r="J1268" s="1"/>
      <c r="K1268" s="1"/>
    </row>
    <row r="1269" spans="1:11" ht="42.75" x14ac:dyDescent="0.25">
      <c r="A1269" s="16" t="s">
        <v>793</v>
      </c>
      <c r="B1269" s="215" t="s">
        <v>9</v>
      </c>
      <c r="C1269" s="17" t="s">
        <v>285</v>
      </c>
      <c r="D1269" s="18" t="s">
        <v>54</v>
      </c>
      <c r="E1269" s="18">
        <v>183.81</v>
      </c>
      <c r="F1269" s="13"/>
      <c r="G1269" s="117">
        <v>0</v>
      </c>
      <c r="H1269" s="103"/>
      <c r="I1269" s="58">
        <f>E1269*G1269</f>
        <v>0</v>
      </c>
      <c r="J1269" s="1"/>
      <c r="K1269" s="1">
        <f>SUM(K1271:K1277)</f>
        <v>183.81200000000001</v>
      </c>
    </row>
    <row r="1270" spans="1:11" x14ac:dyDescent="0.25">
      <c r="A1270" s="10" t="s">
        <v>131</v>
      </c>
      <c r="B1270" s="211" t="s">
        <v>13</v>
      </c>
      <c r="C1270" s="11" t="s">
        <v>165</v>
      </c>
      <c r="D1270" s="12" t="s">
        <v>38</v>
      </c>
      <c r="E1270" s="78">
        <f>2.25*E1269</f>
        <v>413.57</v>
      </c>
      <c r="F1270" s="14">
        <v>0</v>
      </c>
      <c r="G1270" s="102"/>
      <c r="H1270" s="113">
        <f t="shared" ref="H1270:H1277" si="104">E1270*F1270</f>
        <v>0</v>
      </c>
      <c r="I1270" s="15"/>
      <c r="J1270" s="1"/>
      <c r="K1270" s="1"/>
    </row>
    <row r="1271" spans="1:11" x14ac:dyDescent="0.25">
      <c r="A1271" s="10" t="s">
        <v>132</v>
      </c>
      <c r="B1271" s="211" t="s">
        <v>13</v>
      </c>
      <c r="C1271" s="11" t="s">
        <v>363</v>
      </c>
      <c r="D1271" s="12" t="s">
        <v>58</v>
      </c>
      <c r="E1271" s="12">
        <v>1.1000000000000001</v>
      </c>
      <c r="F1271" s="14">
        <v>0</v>
      </c>
      <c r="G1271" s="102"/>
      <c r="H1271" s="113">
        <f t="shared" si="104"/>
        <v>0</v>
      </c>
      <c r="I1271" s="15"/>
      <c r="J1271" s="1"/>
      <c r="K1271" s="1">
        <f>2.52*E1271</f>
        <v>2.7719999999999998</v>
      </c>
    </row>
    <row r="1272" spans="1:11" ht="30" x14ac:dyDescent="0.25">
      <c r="A1272" s="10" t="s">
        <v>794</v>
      </c>
      <c r="B1272" s="211" t="s">
        <v>13</v>
      </c>
      <c r="C1272" s="11" t="s">
        <v>623</v>
      </c>
      <c r="D1272" s="20" t="s">
        <v>58</v>
      </c>
      <c r="E1272" s="12">
        <v>1.4</v>
      </c>
      <c r="F1272" s="33">
        <v>0</v>
      </c>
      <c r="G1272" s="102"/>
      <c r="H1272" s="113">
        <f t="shared" si="104"/>
        <v>0</v>
      </c>
      <c r="I1272" s="15"/>
      <c r="J1272" s="1"/>
      <c r="K1272" s="1">
        <f>2.4*E1272</f>
        <v>3.36</v>
      </c>
    </row>
    <row r="1273" spans="1:11" x14ac:dyDescent="0.25">
      <c r="A1273" s="10" t="s">
        <v>795</v>
      </c>
      <c r="B1273" s="211" t="s">
        <v>13</v>
      </c>
      <c r="C1273" s="11" t="s">
        <v>364</v>
      </c>
      <c r="D1273" s="20" t="s">
        <v>58</v>
      </c>
      <c r="E1273" s="12">
        <v>53.6</v>
      </c>
      <c r="F1273" s="33">
        <v>0</v>
      </c>
      <c r="G1273" s="102"/>
      <c r="H1273" s="113">
        <f t="shared" si="104"/>
        <v>0</v>
      </c>
      <c r="I1273" s="15"/>
      <c r="J1273" s="1"/>
      <c r="K1273" s="1">
        <f>2.8*E1273</f>
        <v>150.08000000000001</v>
      </c>
    </row>
    <row r="1274" spans="1:11" x14ac:dyDescent="0.25">
      <c r="A1274" s="10" t="s">
        <v>796</v>
      </c>
      <c r="B1274" s="220" t="s">
        <v>13</v>
      </c>
      <c r="C1274" s="30" t="s">
        <v>299</v>
      </c>
      <c r="D1274" s="31" t="s">
        <v>14</v>
      </c>
      <c r="E1274" s="104">
        <v>19</v>
      </c>
      <c r="F1274" s="33">
        <v>0</v>
      </c>
      <c r="G1274" s="102"/>
      <c r="H1274" s="113">
        <f t="shared" si="104"/>
        <v>0</v>
      </c>
      <c r="I1274" s="15"/>
      <c r="J1274" s="1"/>
      <c r="K1274" s="1">
        <f>1.08*E1274</f>
        <v>20.52</v>
      </c>
    </row>
    <row r="1275" spans="1:11" x14ac:dyDescent="0.25">
      <c r="A1275" s="10" t="s">
        <v>811</v>
      </c>
      <c r="B1275" s="220" t="s">
        <v>13</v>
      </c>
      <c r="C1275" s="30" t="s">
        <v>365</v>
      </c>
      <c r="D1275" s="31" t="s">
        <v>14</v>
      </c>
      <c r="E1275" s="104">
        <v>1</v>
      </c>
      <c r="F1275" s="33">
        <v>0</v>
      </c>
      <c r="G1275" s="102"/>
      <c r="H1275" s="113">
        <f t="shared" si="104"/>
        <v>0</v>
      </c>
      <c r="I1275" s="15"/>
      <c r="J1275" s="1"/>
      <c r="K1275" s="1">
        <f>0.54*E1275</f>
        <v>0.54</v>
      </c>
    </row>
    <row r="1276" spans="1:11" x14ac:dyDescent="0.25">
      <c r="A1276" s="10" t="s">
        <v>812</v>
      </c>
      <c r="B1276" s="220" t="s">
        <v>13</v>
      </c>
      <c r="C1276" s="30" t="s">
        <v>580</v>
      </c>
      <c r="D1276" s="31" t="s">
        <v>14</v>
      </c>
      <c r="E1276" s="104">
        <v>1</v>
      </c>
      <c r="F1276" s="33">
        <v>0</v>
      </c>
      <c r="G1276" s="102"/>
      <c r="H1276" s="113">
        <f t="shared" si="104"/>
        <v>0</v>
      </c>
      <c r="I1276" s="15"/>
      <c r="J1276" s="1"/>
      <c r="K1276" s="1">
        <f>0.66*E1276</f>
        <v>0.66</v>
      </c>
    </row>
    <row r="1277" spans="1:11" ht="30" x14ac:dyDescent="0.25">
      <c r="A1277" s="10" t="s">
        <v>849</v>
      </c>
      <c r="B1277" s="220" t="s">
        <v>13</v>
      </c>
      <c r="C1277" s="30" t="s">
        <v>366</v>
      </c>
      <c r="D1277" s="31" t="s">
        <v>14</v>
      </c>
      <c r="E1277" s="104">
        <v>6</v>
      </c>
      <c r="F1277" s="33">
        <v>0</v>
      </c>
      <c r="G1277" s="102"/>
      <c r="H1277" s="113">
        <f t="shared" si="104"/>
        <v>0</v>
      </c>
      <c r="I1277" s="15"/>
      <c r="J1277" s="1"/>
      <c r="K1277" s="1">
        <f>0.98*E1277</f>
        <v>5.88</v>
      </c>
    </row>
    <row r="1278" spans="1:11" ht="28.5" x14ac:dyDescent="0.25">
      <c r="A1278" s="18">
        <v>32</v>
      </c>
      <c r="B1278" s="221" t="s">
        <v>9</v>
      </c>
      <c r="C1278" s="17" t="s">
        <v>52</v>
      </c>
      <c r="D1278" s="19" t="s">
        <v>14</v>
      </c>
      <c r="E1278" s="18">
        <v>19</v>
      </c>
      <c r="F1278" s="28"/>
      <c r="G1278" s="117">
        <v>0</v>
      </c>
      <c r="H1278" s="103"/>
      <c r="I1278" s="58">
        <f>E1278*G1278</f>
        <v>0</v>
      </c>
      <c r="J1278" s="1"/>
      <c r="K1278" s="1"/>
    </row>
    <row r="1279" spans="1:11" ht="45" x14ac:dyDescent="0.25">
      <c r="A1279" s="29" t="s">
        <v>133</v>
      </c>
      <c r="B1279" s="220" t="s">
        <v>13</v>
      </c>
      <c r="C1279" s="30" t="s">
        <v>462</v>
      </c>
      <c r="D1279" s="31" t="s">
        <v>14</v>
      </c>
      <c r="E1279" s="104">
        <v>19</v>
      </c>
      <c r="F1279" s="33">
        <v>0</v>
      </c>
      <c r="G1279" s="102"/>
      <c r="H1279" s="113">
        <f>E1279*F1279</f>
        <v>0</v>
      </c>
      <c r="I1279" s="15"/>
      <c r="J1279" s="1"/>
      <c r="K1279" s="1"/>
    </row>
    <row r="1280" spans="1:11" ht="28.5" x14ac:dyDescent="0.25">
      <c r="A1280" s="173" t="s">
        <v>134</v>
      </c>
      <c r="B1280" s="234" t="s">
        <v>9</v>
      </c>
      <c r="C1280" s="17" t="s">
        <v>211</v>
      </c>
      <c r="D1280" s="19" t="s">
        <v>54</v>
      </c>
      <c r="E1280" s="18">
        <v>165.8</v>
      </c>
      <c r="F1280" s="28"/>
      <c r="G1280" s="117">
        <v>0</v>
      </c>
      <c r="H1280" s="103"/>
      <c r="I1280" s="58">
        <f>E1280*G1280</f>
        <v>0</v>
      </c>
      <c r="J1280" s="1"/>
      <c r="K1280" s="1"/>
    </row>
    <row r="1281" spans="1:11" x14ac:dyDescent="0.25">
      <c r="A1281" s="29" t="s">
        <v>135</v>
      </c>
      <c r="B1281" s="220" t="s">
        <v>13</v>
      </c>
      <c r="C1281" s="188" t="s">
        <v>209</v>
      </c>
      <c r="D1281" s="90" t="s">
        <v>54</v>
      </c>
      <c r="E1281" s="12">
        <f>1.1*E1280</f>
        <v>182.38</v>
      </c>
      <c r="F1281" s="33">
        <v>0</v>
      </c>
      <c r="G1281" s="102"/>
      <c r="H1281" s="113">
        <f>E1281*F1281</f>
        <v>0</v>
      </c>
      <c r="I1281" s="15"/>
      <c r="J1281" s="1"/>
      <c r="K1281" s="1"/>
    </row>
    <row r="1282" spans="1:11" ht="15.75" thickBot="1" x14ac:dyDescent="0.3">
      <c r="A1282" s="129" t="s">
        <v>136</v>
      </c>
      <c r="B1282" s="381" t="s">
        <v>13</v>
      </c>
      <c r="C1282" s="91" t="s">
        <v>266</v>
      </c>
      <c r="D1282" s="92" t="s">
        <v>38</v>
      </c>
      <c r="E1282" s="141">
        <f>0.7*E1280</f>
        <v>116.06</v>
      </c>
      <c r="F1282" s="186">
        <v>0</v>
      </c>
      <c r="G1282" s="114"/>
      <c r="H1282" s="120">
        <f>E1282*F1282</f>
        <v>0</v>
      </c>
      <c r="I1282" s="127"/>
      <c r="J1282" s="1"/>
      <c r="K1282" s="1"/>
    </row>
    <row r="1283" spans="1:11" ht="15.75" thickBot="1" x14ac:dyDescent="0.3">
      <c r="A1283" s="83"/>
      <c r="B1283" s="244"/>
      <c r="C1283" s="268" t="s">
        <v>417</v>
      </c>
      <c r="D1283" s="48"/>
      <c r="E1283" s="49"/>
      <c r="F1283" s="132"/>
      <c r="G1283" s="109"/>
      <c r="H1283" s="121">
        <f>SUM(H1265:H1282)</f>
        <v>0</v>
      </c>
      <c r="I1283" s="86">
        <f>SUM(I1264:I1282)</f>
        <v>0</v>
      </c>
      <c r="J1283" s="1"/>
      <c r="K1283" s="1"/>
    </row>
    <row r="1284" spans="1:11" ht="15.75" thickBot="1" x14ac:dyDescent="0.3">
      <c r="A1284" s="83"/>
      <c r="B1284" s="241"/>
      <c r="C1284" s="98" t="s">
        <v>455</v>
      </c>
      <c r="D1284" s="48"/>
      <c r="E1284" s="48"/>
      <c r="F1284" s="144"/>
      <c r="G1284" s="52"/>
      <c r="H1284" s="99">
        <f>H1160+H1179+H1209+H1239+H1283+H1262</f>
        <v>0</v>
      </c>
      <c r="I1284" s="86">
        <f>I1160+I1179+I1209+I1239+I1283+I1262</f>
        <v>0</v>
      </c>
    </row>
    <row r="1285" spans="1:11" ht="15.75" thickBot="1" x14ac:dyDescent="0.3">
      <c r="A1285" s="83"/>
      <c r="B1285" s="241"/>
      <c r="C1285" s="98" t="s">
        <v>730</v>
      </c>
      <c r="D1285" s="48"/>
      <c r="E1285" s="48"/>
      <c r="F1285" s="144"/>
      <c r="G1285" s="52"/>
      <c r="H1285" s="132"/>
      <c r="I1285" s="86">
        <f>H1284+I1284</f>
        <v>0</v>
      </c>
    </row>
    <row r="1286" spans="1:11" ht="15.75" thickBot="1" x14ac:dyDescent="0.3">
      <c r="A1286" s="83"/>
      <c r="B1286" s="241"/>
      <c r="C1286" s="98" t="s">
        <v>850</v>
      </c>
      <c r="D1286" s="48"/>
      <c r="E1286" s="48"/>
      <c r="F1286" s="132"/>
      <c r="G1286" s="109"/>
      <c r="H1286" s="132"/>
      <c r="I1286" s="86">
        <f>I1043+I1141+I1285</f>
        <v>0</v>
      </c>
    </row>
    <row r="1287" spans="1:11" ht="15.75" thickBot="1" x14ac:dyDescent="0.3">
      <c r="A1287" s="83"/>
      <c r="B1287" s="241"/>
      <c r="C1287" s="85" t="s">
        <v>731</v>
      </c>
      <c r="D1287" s="48"/>
      <c r="E1287" s="48"/>
      <c r="F1287" s="132"/>
      <c r="G1287" s="109"/>
      <c r="H1287" s="132"/>
      <c r="I1287" s="86"/>
    </row>
    <row r="1288" spans="1:11" ht="15.75" thickBot="1" x14ac:dyDescent="0.3">
      <c r="A1288" s="46"/>
      <c r="B1288" s="134" t="s">
        <v>851</v>
      </c>
      <c r="C1288" s="135" t="s">
        <v>304</v>
      </c>
      <c r="D1288" s="363"/>
      <c r="E1288" s="368"/>
      <c r="F1288" s="99"/>
      <c r="G1288" s="136"/>
      <c r="H1288" s="121"/>
      <c r="I1288" s="86"/>
      <c r="J1288" s="1"/>
      <c r="K1288" s="1"/>
    </row>
    <row r="1289" spans="1:11" x14ac:dyDescent="0.25">
      <c r="A1289" s="173" t="s">
        <v>46</v>
      </c>
      <c r="B1289" s="201" t="s">
        <v>9</v>
      </c>
      <c r="C1289" s="196" t="s">
        <v>212</v>
      </c>
      <c r="D1289" s="56" t="s">
        <v>14</v>
      </c>
      <c r="E1289" s="57">
        <v>781</v>
      </c>
      <c r="F1289" s="150"/>
      <c r="G1289" s="146">
        <v>0</v>
      </c>
      <c r="H1289" s="143"/>
      <c r="I1289" s="65">
        <f>E1289*G1289</f>
        <v>0</v>
      </c>
      <c r="J1289" s="1"/>
      <c r="K1289" s="1"/>
    </row>
    <row r="1290" spans="1:11" ht="15.75" thickBot="1" x14ac:dyDescent="0.3">
      <c r="A1290" s="34" t="s">
        <v>12</v>
      </c>
      <c r="B1290" s="202" t="s">
        <v>13</v>
      </c>
      <c r="C1290" s="123" t="s">
        <v>213</v>
      </c>
      <c r="D1290" s="59" t="s">
        <v>14</v>
      </c>
      <c r="E1290" s="60">
        <v>781</v>
      </c>
      <c r="F1290" s="61">
        <v>0</v>
      </c>
      <c r="G1290" s="107"/>
      <c r="H1290" s="111">
        <f>E1290*F1290</f>
        <v>0</v>
      </c>
      <c r="I1290" s="44"/>
      <c r="J1290" s="1"/>
      <c r="K1290" s="1"/>
    </row>
    <row r="1291" spans="1:11" ht="15.75" thickBot="1" x14ac:dyDescent="0.3">
      <c r="A1291" s="260"/>
      <c r="B1291" s="261"/>
      <c r="C1291" s="265" t="s">
        <v>417</v>
      </c>
      <c r="D1291" s="262"/>
      <c r="E1291" s="263"/>
      <c r="F1291" s="264"/>
      <c r="G1291" s="264"/>
      <c r="H1291" s="266">
        <f>SUM(H1290)</f>
        <v>0</v>
      </c>
      <c r="I1291" s="267">
        <f>SUM(I1289:I1290)</f>
        <v>0</v>
      </c>
      <c r="J1291" s="1"/>
      <c r="K1291" s="1"/>
    </row>
    <row r="1292" spans="1:11" ht="15.75" thickBot="1" x14ac:dyDescent="0.3">
      <c r="A1292" s="66"/>
      <c r="B1292" s="203"/>
      <c r="C1292" s="400" t="s">
        <v>732</v>
      </c>
      <c r="D1292" s="400"/>
      <c r="E1292" s="400"/>
      <c r="F1292" s="400"/>
      <c r="G1292" s="400"/>
      <c r="H1292" s="400"/>
      <c r="I1292" s="400"/>
      <c r="J1292" s="1"/>
      <c r="K1292" s="1"/>
    </row>
    <row r="1293" spans="1:11" ht="42.75" x14ac:dyDescent="0.25">
      <c r="A1293" s="67" t="s">
        <v>16</v>
      </c>
      <c r="B1293" s="204" t="s">
        <v>9</v>
      </c>
      <c r="C1293" s="68" t="s">
        <v>53</v>
      </c>
      <c r="D1293" s="69" t="s">
        <v>54</v>
      </c>
      <c r="E1293" s="69">
        <v>111.32</v>
      </c>
      <c r="F1293" s="96"/>
      <c r="G1293" s="42">
        <v>0</v>
      </c>
      <c r="H1293" s="96"/>
      <c r="I1293" s="42">
        <f>E1293*G1293</f>
        <v>0</v>
      </c>
      <c r="J1293" s="1"/>
      <c r="K1293" s="1">
        <f>K1295+K1296+K1297+K1298</f>
        <v>111.32</v>
      </c>
    </row>
    <row r="1294" spans="1:11" x14ac:dyDescent="0.25">
      <c r="A1294" s="29" t="s">
        <v>17</v>
      </c>
      <c r="B1294" s="205" t="s">
        <v>13</v>
      </c>
      <c r="C1294" s="70" t="s">
        <v>55</v>
      </c>
      <c r="D1294" s="71" t="s">
        <v>38</v>
      </c>
      <c r="E1294" s="72">
        <f>0.606*E1293</f>
        <v>67.459999999999994</v>
      </c>
      <c r="F1294" s="33">
        <v>0</v>
      </c>
      <c r="G1294" s="15"/>
      <c r="H1294" s="33">
        <f>E1294*F1294</f>
        <v>0</v>
      </c>
      <c r="I1294" s="15"/>
      <c r="J1294" s="1"/>
      <c r="K1294" s="1"/>
    </row>
    <row r="1295" spans="1:11" x14ac:dyDescent="0.25">
      <c r="A1295" s="29" t="s">
        <v>18</v>
      </c>
      <c r="B1295" s="205" t="s">
        <v>13</v>
      </c>
      <c r="C1295" s="70" t="s">
        <v>56</v>
      </c>
      <c r="D1295" s="71" t="s">
        <v>58</v>
      </c>
      <c r="E1295" s="71">
        <v>211.7</v>
      </c>
      <c r="F1295" s="33">
        <v>0</v>
      </c>
      <c r="G1295" s="15"/>
      <c r="H1295" s="33">
        <f>E1295*F1295</f>
        <v>0</v>
      </c>
      <c r="I1295" s="15"/>
      <c r="J1295" s="1"/>
      <c r="K1295" s="1">
        <v>66.510000000000005</v>
      </c>
    </row>
    <row r="1296" spans="1:11" ht="30" x14ac:dyDescent="0.25">
      <c r="A1296" s="29" t="s">
        <v>47</v>
      </c>
      <c r="B1296" s="205" t="s">
        <v>13</v>
      </c>
      <c r="C1296" s="128" t="s">
        <v>172</v>
      </c>
      <c r="D1296" s="71" t="s">
        <v>14</v>
      </c>
      <c r="E1296" s="71">
        <v>127</v>
      </c>
      <c r="F1296" s="33">
        <v>0</v>
      </c>
      <c r="G1296" s="15"/>
      <c r="H1296" s="33">
        <f t="shared" ref="H1296:H1297" si="105">E1296*F1296</f>
        <v>0</v>
      </c>
      <c r="I1296" s="15"/>
      <c r="J1296" s="1"/>
      <c r="K1296" s="1">
        <f>E1296*0.05</f>
        <v>6.35</v>
      </c>
    </row>
    <row r="1297" spans="1:11" ht="30" x14ac:dyDescent="0.25">
      <c r="A1297" s="29" t="s">
        <v>49</v>
      </c>
      <c r="B1297" s="205" t="s">
        <v>13</v>
      </c>
      <c r="C1297" s="128" t="s">
        <v>173</v>
      </c>
      <c r="D1297" s="71" t="s">
        <v>14</v>
      </c>
      <c r="E1297" s="71">
        <v>111</v>
      </c>
      <c r="F1297" s="33">
        <v>0</v>
      </c>
      <c r="G1297" s="15"/>
      <c r="H1297" s="33">
        <f t="shared" si="105"/>
        <v>0</v>
      </c>
      <c r="I1297" s="15"/>
      <c r="J1297" s="1"/>
      <c r="K1297" s="1">
        <f>E1297*0.06</f>
        <v>6.66</v>
      </c>
    </row>
    <row r="1298" spans="1:11" x14ac:dyDescent="0.25">
      <c r="A1298" s="29" t="s">
        <v>50</v>
      </c>
      <c r="B1298" s="205" t="s">
        <v>13</v>
      </c>
      <c r="C1298" s="128" t="s">
        <v>458</v>
      </c>
      <c r="D1298" s="71" t="s">
        <v>14</v>
      </c>
      <c r="E1298" s="71">
        <v>318</v>
      </c>
      <c r="F1298" s="33">
        <v>0</v>
      </c>
      <c r="G1298" s="15"/>
      <c r="H1298" s="33">
        <f>E1298*F1298</f>
        <v>0</v>
      </c>
      <c r="I1298" s="15"/>
      <c r="J1298" s="1"/>
      <c r="K1298" s="1">
        <f>0.1*E1298</f>
        <v>31.8</v>
      </c>
    </row>
    <row r="1299" spans="1:11" ht="42.75" x14ac:dyDescent="0.25">
      <c r="A1299" s="26" t="s">
        <v>19</v>
      </c>
      <c r="B1299" s="228" t="s">
        <v>9</v>
      </c>
      <c r="C1299" s="74" t="s">
        <v>153</v>
      </c>
      <c r="D1299" s="75" t="s">
        <v>54</v>
      </c>
      <c r="E1299" s="75">
        <v>163.83000000000001</v>
      </c>
      <c r="F1299" s="28"/>
      <c r="G1299" s="58">
        <v>0</v>
      </c>
      <c r="H1299" s="28"/>
      <c r="I1299" s="58">
        <f>E1299*G1299</f>
        <v>0</v>
      </c>
      <c r="J1299" s="1"/>
      <c r="K1299" s="1"/>
    </row>
    <row r="1300" spans="1:11" x14ac:dyDescent="0.25">
      <c r="A1300" s="29" t="s">
        <v>21</v>
      </c>
      <c r="B1300" s="205" t="s">
        <v>13</v>
      </c>
      <c r="C1300" s="70" t="s">
        <v>55</v>
      </c>
      <c r="D1300" s="71" t="s">
        <v>38</v>
      </c>
      <c r="E1300" s="72">
        <f>0.606*E1299</f>
        <v>99.28</v>
      </c>
      <c r="F1300" s="33">
        <v>0</v>
      </c>
      <c r="G1300" s="15"/>
      <c r="H1300" s="33">
        <f t="shared" ref="H1300:H1304" si="106">E1300*F1300</f>
        <v>0</v>
      </c>
      <c r="I1300" s="15"/>
      <c r="J1300" s="1"/>
      <c r="K1300" s="1"/>
    </row>
    <row r="1301" spans="1:11" x14ac:dyDescent="0.25">
      <c r="A1301" s="29" t="s">
        <v>22</v>
      </c>
      <c r="B1301" s="205" t="s">
        <v>13</v>
      </c>
      <c r="C1301" s="70" t="s">
        <v>155</v>
      </c>
      <c r="D1301" s="71" t="s">
        <v>58</v>
      </c>
      <c r="E1301" s="71">
        <v>423</v>
      </c>
      <c r="F1301" s="33">
        <v>0</v>
      </c>
      <c r="G1301" s="15"/>
      <c r="H1301" s="33">
        <f t="shared" si="106"/>
        <v>0</v>
      </c>
      <c r="I1301" s="15"/>
      <c r="J1301" s="1"/>
      <c r="K1301" s="1">
        <v>132.88999999999999</v>
      </c>
    </row>
    <row r="1302" spans="1:11" x14ac:dyDescent="0.25">
      <c r="A1302" s="29" t="s">
        <v>59</v>
      </c>
      <c r="B1302" s="205" t="s">
        <v>13</v>
      </c>
      <c r="C1302" s="70" t="s">
        <v>158</v>
      </c>
      <c r="D1302" s="71" t="s">
        <v>14</v>
      </c>
      <c r="E1302" s="71">
        <v>238</v>
      </c>
      <c r="F1302" s="33">
        <v>0</v>
      </c>
      <c r="G1302" s="15"/>
      <c r="H1302" s="33">
        <f t="shared" si="106"/>
        <v>0</v>
      </c>
      <c r="I1302" s="15"/>
      <c r="J1302" s="1"/>
      <c r="K1302" s="1">
        <f>E1302*0.03</f>
        <v>7.14</v>
      </c>
    </row>
    <row r="1303" spans="1:11" x14ac:dyDescent="0.25">
      <c r="A1303" s="29" t="s">
        <v>371</v>
      </c>
      <c r="B1303" s="205" t="s">
        <v>13</v>
      </c>
      <c r="C1303" s="70" t="s">
        <v>441</v>
      </c>
      <c r="D1303" s="71" t="s">
        <v>14</v>
      </c>
      <c r="E1303" s="71">
        <v>238</v>
      </c>
      <c r="F1303" s="33">
        <v>0</v>
      </c>
      <c r="G1303" s="15"/>
      <c r="H1303" s="33">
        <f t="shared" si="106"/>
        <v>0</v>
      </c>
      <c r="I1303" s="15"/>
      <c r="J1303" s="1"/>
      <c r="K1303" s="1">
        <f>E1303*0.1</f>
        <v>23.8</v>
      </c>
    </row>
    <row r="1304" spans="1:11" ht="30" x14ac:dyDescent="0.25">
      <c r="A1304" s="29" t="s">
        <v>372</v>
      </c>
      <c r="B1304" s="205" t="s">
        <v>13</v>
      </c>
      <c r="C1304" s="11" t="s">
        <v>156</v>
      </c>
      <c r="D1304" s="20" t="s">
        <v>14</v>
      </c>
      <c r="E1304" s="20">
        <v>238</v>
      </c>
      <c r="F1304" s="33">
        <v>0</v>
      </c>
      <c r="G1304" s="15"/>
      <c r="H1304" s="33">
        <f t="shared" si="106"/>
        <v>0</v>
      </c>
      <c r="I1304" s="15"/>
      <c r="J1304" s="1"/>
      <c r="K1304" s="1"/>
    </row>
    <row r="1305" spans="1:11" ht="42.75" x14ac:dyDescent="0.25">
      <c r="A1305" s="26" t="s">
        <v>23</v>
      </c>
      <c r="B1305" s="239" t="s">
        <v>9</v>
      </c>
      <c r="C1305" s="250" t="s">
        <v>157</v>
      </c>
      <c r="D1305" s="19" t="s">
        <v>54</v>
      </c>
      <c r="E1305" s="19">
        <v>148.16999999999999</v>
      </c>
      <c r="F1305" s="28"/>
      <c r="G1305" s="58">
        <v>0</v>
      </c>
      <c r="H1305" s="28"/>
      <c r="I1305" s="58">
        <f>E1305*G1305</f>
        <v>0</v>
      </c>
      <c r="J1305" s="1"/>
      <c r="K1305" s="1">
        <f>SUM(K1307:K1312)</f>
        <v>148.16999999999999</v>
      </c>
    </row>
    <row r="1306" spans="1:11" x14ac:dyDescent="0.25">
      <c r="A1306" s="29" t="s">
        <v>24</v>
      </c>
      <c r="B1306" s="205" t="s">
        <v>13</v>
      </c>
      <c r="C1306" s="188" t="s">
        <v>165</v>
      </c>
      <c r="D1306" s="20" t="s">
        <v>38</v>
      </c>
      <c r="E1306" s="76">
        <f>0.712*E1305</f>
        <v>105.5</v>
      </c>
      <c r="F1306" s="33">
        <v>0</v>
      </c>
      <c r="G1306" s="15"/>
      <c r="H1306" s="33">
        <f t="shared" ref="H1306:H1312" si="107">E1306*F1306</f>
        <v>0</v>
      </c>
      <c r="I1306" s="15"/>
      <c r="J1306" s="1"/>
      <c r="K1306" s="1"/>
    </row>
    <row r="1307" spans="1:11" x14ac:dyDescent="0.25">
      <c r="A1307" s="29" t="s">
        <v>60</v>
      </c>
      <c r="B1307" s="205" t="s">
        <v>13</v>
      </c>
      <c r="C1307" s="188" t="s">
        <v>160</v>
      </c>
      <c r="D1307" s="20" t="s">
        <v>58</v>
      </c>
      <c r="E1307" s="20">
        <v>3.2</v>
      </c>
      <c r="F1307" s="33">
        <v>0</v>
      </c>
      <c r="G1307" s="15"/>
      <c r="H1307" s="33">
        <f t="shared" si="107"/>
        <v>0</v>
      </c>
      <c r="I1307" s="15"/>
      <c r="J1307" s="1"/>
      <c r="K1307" s="1">
        <f>0.8*E1307</f>
        <v>2.56</v>
      </c>
    </row>
    <row r="1308" spans="1:11" x14ac:dyDescent="0.25">
      <c r="A1308" s="29" t="s">
        <v>138</v>
      </c>
      <c r="B1308" s="205" t="s">
        <v>13</v>
      </c>
      <c r="C1308" s="188" t="s">
        <v>161</v>
      </c>
      <c r="D1308" s="20" t="s">
        <v>58</v>
      </c>
      <c r="E1308" s="20">
        <v>178.2</v>
      </c>
      <c r="F1308" s="33">
        <v>0</v>
      </c>
      <c r="G1308" s="15"/>
      <c r="H1308" s="33">
        <f t="shared" si="107"/>
        <v>0</v>
      </c>
      <c r="I1308" s="15"/>
      <c r="J1308" s="1"/>
      <c r="K1308" s="1">
        <f>0.8*E1308</f>
        <v>142.56</v>
      </c>
    </row>
    <row r="1309" spans="1:11" x14ac:dyDescent="0.25">
      <c r="A1309" s="29" t="s">
        <v>373</v>
      </c>
      <c r="B1309" s="205" t="s">
        <v>13</v>
      </c>
      <c r="C1309" s="188" t="s">
        <v>162</v>
      </c>
      <c r="D1309" s="20" t="s">
        <v>14</v>
      </c>
      <c r="E1309" s="20">
        <v>3</v>
      </c>
      <c r="F1309" s="33">
        <v>0</v>
      </c>
      <c r="G1309" s="15"/>
      <c r="H1309" s="33">
        <f t="shared" si="107"/>
        <v>0</v>
      </c>
      <c r="I1309" s="15"/>
      <c r="J1309" s="1"/>
      <c r="K1309" s="1">
        <f>E1309*0.28</f>
        <v>0.84</v>
      </c>
    </row>
    <row r="1310" spans="1:11" x14ac:dyDescent="0.25">
      <c r="A1310" s="29" t="s">
        <v>374</v>
      </c>
      <c r="B1310" s="205" t="s">
        <v>13</v>
      </c>
      <c r="C1310" s="188" t="s">
        <v>733</v>
      </c>
      <c r="D1310" s="20" t="s">
        <v>14</v>
      </c>
      <c r="E1310" s="20">
        <v>1</v>
      </c>
      <c r="F1310" s="33">
        <v>0</v>
      </c>
      <c r="G1310" s="15"/>
      <c r="H1310" s="33">
        <f t="shared" si="107"/>
        <v>0</v>
      </c>
      <c r="I1310" s="15"/>
      <c r="J1310" s="1"/>
      <c r="K1310" s="1">
        <v>0.33</v>
      </c>
    </row>
    <row r="1311" spans="1:11" x14ac:dyDescent="0.25">
      <c r="A1311" s="29" t="s">
        <v>375</v>
      </c>
      <c r="B1311" s="205" t="s">
        <v>13</v>
      </c>
      <c r="C1311" s="188" t="s">
        <v>171</v>
      </c>
      <c r="D1311" s="20" t="s">
        <v>14</v>
      </c>
      <c r="E1311" s="20">
        <v>4</v>
      </c>
      <c r="F1311" s="33">
        <v>0</v>
      </c>
      <c r="G1311" s="15"/>
      <c r="H1311" s="33">
        <f t="shared" si="107"/>
        <v>0</v>
      </c>
      <c r="I1311" s="15"/>
      <c r="J1311" s="1"/>
      <c r="K1311" s="1">
        <f>E1311*0.08</f>
        <v>0.32</v>
      </c>
    </row>
    <row r="1312" spans="1:11" ht="30" x14ac:dyDescent="0.25">
      <c r="A1312" s="29" t="s">
        <v>376</v>
      </c>
      <c r="B1312" s="205" t="s">
        <v>13</v>
      </c>
      <c r="C1312" s="188" t="s">
        <v>164</v>
      </c>
      <c r="D1312" s="20" t="s">
        <v>14</v>
      </c>
      <c r="E1312" s="20">
        <v>4</v>
      </c>
      <c r="F1312" s="33">
        <v>0</v>
      </c>
      <c r="G1312" s="15"/>
      <c r="H1312" s="33">
        <f t="shared" si="107"/>
        <v>0</v>
      </c>
      <c r="I1312" s="15"/>
      <c r="J1312" s="1"/>
      <c r="K1312" s="1">
        <f>E1312*0.39</f>
        <v>1.56</v>
      </c>
    </row>
    <row r="1313" spans="1:11" ht="42.75" x14ac:dyDescent="0.25">
      <c r="A1313" s="26" t="s">
        <v>51</v>
      </c>
      <c r="B1313" s="228" t="s">
        <v>9</v>
      </c>
      <c r="C1313" s="74" t="s">
        <v>166</v>
      </c>
      <c r="D1313" s="19" t="s">
        <v>54</v>
      </c>
      <c r="E1313" s="19">
        <v>384.59</v>
      </c>
      <c r="F1313" s="28"/>
      <c r="G1313" s="58">
        <v>0</v>
      </c>
      <c r="H1313" s="28"/>
      <c r="I1313" s="58">
        <f>E1313*G1313</f>
        <v>0</v>
      </c>
      <c r="J1313" s="1"/>
      <c r="K1313" s="197">
        <f>SUM(K1315:K1324)</f>
        <v>384.59</v>
      </c>
    </row>
    <row r="1314" spans="1:11" x14ac:dyDescent="0.25">
      <c r="A1314" s="29" t="s">
        <v>26</v>
      </c>
      <c r="B1314" s="205" t="s">
        <v>13</v>
      </c>
      <c r="C1314" s="11" t="s">
        <v>55</v>
      </c>
      <c r="D1314" s="20" t="s">
        <v>38</v>
      </c>
      <c r="E1314" s="76">
        <f>1.22*E1313</f>
        <v>469.2</v>
      </c>
      <c r="F1314" s="33">
        <v>0</v>
      </c>
      <c r="G1314" s="15"/>
      <c r="H1314" s="33">
        <f t="shared" ref="H1314" si="108">E1314*F1314</f>
        <v>0</v>
      </c>
      <c r="I1314" s="15"/>
      <c r="J1314" s="1"/>
      <c r="K1314" s="1"/>
    </row>
    <row r="1315" spans="1:11" x14ac:dyDescent="0.25">
      <c r="A1315" s="29" t="s">
        <v>27</v>
      </c>
      <c r="B1315" s="205" t="s">
        <v>13</v>
      </c>
      <c r="C1315" s="11" t="s">
        <v>167</v>
      </c>
      <c r="D1315" s="20" t="s">
        <v>58</v>
      </c>
      <c r="E1315" s="20">
        <v>178.1</v>
      </c>
      <c r="F1315" s="33">
        <v>0</v>
      </c>
      <c r="G1315" s="15"/>
      <c r="H1315" s="33">
        <f t="shared" ref="H1315:H1319" si="109">E1315*F1315</f>
        <v>0</v>
      </c>
      <c r="I1315" s="15"/>
      <c r="J1315" s="1"/>
      <c r="K1315" s="1">
        <f>1.3*E1315</f>
        <v>231.53</v>
      </c>
    </row>
    <row r="1316" spans="1:11" x14ac:dyDescent="0.25">
      <c r="A1316" s="29" t="s">
        <v>28</v>
      </c>
      <c r="B1316" s="205" t="s">
        <v>13</v>
      </c>
      <c r="C1316" s="11" t="s">
        <v>168</v>
      </c>
      <c r="D1316" s="20" t="s">
        <v>58</v>
      </c>
      <c r="E1316" s="20">
        <v>91.2</v>
      </c>
      <c r="F1316" s="33">
        <v>0</v>
      </c>
      <c r="G1316" s="15"/>
      <c r="H1316" s="33">
        <f t="shared" si="109"/>
        <v>0</v>
      </c>
      <c r="I1316" s="15"/>
      <c r="J1316" s="1"/>
      <c r="K1316" s="1">
        <f>1.5*E1316</f>
        <v>136.80000000000001</v>
      </c>
    </row>
    <row r="1317" spans="1:11" x14ac:dyDescent="0.25">
      <c r="A1317" s="29" t="s">
        <v>62</v>
      </c>
      <c r="B1317" s="205" t="s">
        <v>13</v>
      </c>
      <c r="C1317" s="11" t="s">
        <v>169</v>
      </c>
      <c r="D1317" s="20" t="s">
        <v>58</v>
      </c>
      <c r="E1317" s="20">
        <v>1.1000000000000001</v>
      </c>
      <c r="F1317" s="33">
        <v>0</v>
      </c>
      <c r="G1317" s="15"/>
      <c r="H1317" s="33">
        <f t="shared" si="109"/>
        <v>0</v>
      </c>
      <c r="I1317" s="15"/>
      <c r="J1317" s="1"/>
      <c r="K1317" s="1">
        <f>0.65*2*1.4</f>
        <v>1.82</v>
      </c>
    </row>
    <row r="1318" spans="1:11" x14ac:dyDescent="0.25">
      <c r="A1318" s="29" t="s">
        <v>232</v>
      </c>
      <c r="B1318" s="205" t="s">
        <v>13</v>
      </c>
      <c r="C1318" s="11" t="s">
        <v>170</v>
      </c>
      <c r="D1318" s="20" t="s">
        <v>58</v>
      </c>
      <c r="E1318" s="20">
        <v>1.7</v>
      </c>
      <c r="F1318" s="33">
        <v>0</v>
      </c>
      <c r="G1318" s="15"/>
      <c r="H1318" s="33">
        <f t="shared" si="109"/>
        <v>0</v>
      </c>
      <c r="I1318" s="15"/>
      <c r="J1318" s="1"/>
      <c r="K1318" s="1">
        <f>1.5*3.5</f>
        <v>5.25</v>
      </c>
    </row>
    <row r="1319" spans="1:11" x14ac:dyDescent="0.25">
      <c r="A1319" s="29" t="s">
        <v>378</v>
      </c>
      <c r="B1319" s="205" t="s">
        <v>13</v>
      </c>
      <c r="C1319" s="11" t="s">
        <v>174</v>
      </c>
      <c r="D1319" s="20" t="s">
        <v>14</v>
      </c>
      <c r="E1319" s="71">
        <v>4</v>
      </c>
      <c r="F1319" s="33">
        <v>0</v>
      </c>
      <c r="G1319" s="15"/>
      <c r="H1319" s="33">
        <f t="shared" si="109"/>
        <v>0</v>
      </c>
      <c r="I1319" s="15"/>
      <c r="J1319" s="1"/>
      <c r="K1319" s="299">
        <f>0.46*1</f>
        <v>0.46</v>
      </c>
    </row>
    <row r="1320" spans="1:11" x14ac:dyDescent="0.25">
      <c r="A1320" s="29" t="s">
        <v>379</v>
      </c>
      <c r="B1320" s="205" t="s">
        <v>13</v>
      </c>
      <c r="C1320" s="11" t="s">
        <v>176</v>
      </c>
      <c r="D1320" s="20" t="s">
        <v>14</v>
      </c>
      <c r="E1320" s="71">
        <v>2</v>
      </c>
      <c r="F1320" s="33">
        <v>0</v>
      </c>
      <c r="G1320" s="15"/>
      <c r="H1320" s="33">
        <f>E1320*F1320</f>
        <v>0</v>
      </c>
      <c r="I1320" s="15"/>
      <c r="J1320" s="1"/>
      <c r="K1320" s="299">
        <f>4*0.53</f>
        <v>2.12</v>
      </c>
    </row>
    <row r="1321" spans="1:11" x14ac:dyDescent="0.25">
      <c r="A1321" s="29" t="s">
        <v>380</v>
      </c>
      <c r="B1321" s="205" t="s">
        <v>13</v>
      </c>
      <c r="C1321" s="11" t="s">
        <v>315</v>
      </c>
      <c r="D1321" s="20" t="s">
        <v>14</v>
      </c>
      <c r="E1321" s="71">
        <v>2</v>
      </c>
      <c r="F1321" s="33">
        <v>0</v>
      </c>
      <c r="G1321" s="15"/>
      <c r="H1321" s="33">
        <f t="shared" ref="H1321:H1324" si="110">E1321*F1321</f>
        <v>0</v>
      </c>
      <c r="I1321" s="15"/>
      <c r="J1321" s="1"/>
      <c r="K1321" s="299">
        <f>4*0.2</f>
        <v>0.8</v>
      </c>
    </row>
    <row r="1322" spans="1:11" x14ac:dyDescent="0.25">
      <c r="A1322" s="29" t="s">
        <v>381</v>
      </c>
      <c r="B1322" s="205" t="s">
        <v>13</v>
      </c>
      <c r="C1322" s="11" t="s">
        <v>177</v>
      </c>
      <c r="D1322" s="20" t="s">
        <v>14</v>
      </c>
      <c r="E1322" s="71">
        <v>4</v>
      </c>
      <c r="F1322" s="33">
        <v>0</v>
      </c>
      <c r="G1322" s="15"/>
      <c r="H1322" s="33">
        <f t="shared" si="110"/>
        <v>0</v>
      </c>
      <c r="I1322" s="15"/>
      <c r="J1322" s="1"/>
      <c r="K1322" s="299">
        <f>0.64*E1322</f>
        <v>2.56</v>
      </c>
    </row>
    <row r="1323" spans="1:11" x14ac:dyDescent="0.25">
      <c r="A1323" s="29" t="s">
        <v>382</v>
      </c>
      <c r="B1323" s="205" t="s">
        <v>13</v>
      </c>
      <c r="C1323" s="11" t="s">
        <v>178</v>
      </c>
      <c r="D1323" s="20" t="s">
        <v>14</v>
      </c>
      <c r="E1323" s="71">
        <v>3</v>
      </c>
      <c r="F1323" s="33">
        <v>0</v>
      </c>
      <c r="G1323" s="15"/>
      <c r="H1323" s="33">
        <f t="shared" si="110"/>
        <v>0</v>
      </c>
      <c r="I1323" s="15"/>
      <c r="J1323" s="1"/>
      <c r="K1323" s="299">
        <f>0.74*E1323</f>
        <v>2.2200000000000002</v>
      </c>
    </row>
    <row r="1324" spans="1:11" x14ac:dyDescent="0.25">
      <c r="A1324" s="29" t="s">
        <v>383</v>
      </c>
      <c r="B1324" s="205" t="s">
        <v>13</v>
      </c>
      <c r="C1324" s="11" t="s">
        <v>179</v>
      </c>
      <c r="D1324" s="20" t="s">
        <v>14</v>
      </c>
      <c r="E1324" s="20">
        <v>1</v>
      </c>
      <c r="F1324" s="33">
        <v>0</v>
      </c>
      <c r="G1324" s="15"/>
      <c r="H1324" s="33">
        <f t="shared" si="110"/>
        <v>0</v>
      </c>
      <c r="I1324" s="15"/>
      <c r="J1324" s="1"/>
      <c r="K1324" s="299">
        <f>E1324*1.03</f>
        <v>1.03</v>
      </c>
    </row>
    <row r="1325" spans="1:11" ht="42.75" x14ac:dyDescent="0.25">
      <c r="A1325" s="26" t="s">
        <v>29</v>
      </c>
      <c r="B1325" s="228" t="s">
        <v>9</v>
      </c>
      <c r="C1325" s="74" t="s">
        <v>180</v>
      </c>
      <c r="D1325" s="19" t="s">
        <v>54</v>
      </c>
      <c r="E1325" s="75">
        <v>117.07</v>
      </c>
      <c r="F1325" s="28"/>
      <c r="G1325" s="58">
        <v>0</v>
      </c>
      <c r="H1325" s="28"/>
      <c r="I1325" s="58">
        <f>E1325*G1325</f>
        <v>0</v>
      </c>
      <c r="J1325" s="1"/>
      <c r="K1325" s="1">
        <f>SUM(K1327:K1337)</f>
        <v>117.07</v>
      </c>
    </row>
    <row r="1326" spans="1:11" x14ac:dyDescent="0.25">
      <c r="A1326" s="29" t="s">
        <v>31</v>
      </c>
      <c r="B1326" s="240" t="s">
        <v>13</v>
      </c>
      <c r="C1326" s="11" t="s">
        <v>55</v>
      </c>
      <c r="D1326" s="20" t="s">
        <v>38</v>
      </c>
      <c r="E1326" s="76">
        <f>2.25*E1325</f>
        <v>263.41000000000003</v>
      </c>
      <c r="F1326" s="33">
        <v>0</v>
      </c>
      <c r="G1326" s="15"/>
      <c r="H1326" s="33">
        <f>F1326*E1326</f>
        <v>0</v>
      </c>
      <c r="I1326" s="15"/>
      <c r="J1326" s="1"/>
      <c r="K1326" s="1"/>
    </row>
    <row r="1327" spans="1:11" x14ac:dyDescent="0.25">
      <c r="A1327" s="29" t="s">
        <v>63</v>
      </c>
      <c r="B1327" s="205" t="s">
        <v>13</v>
      </c>
      <c r="C1327" s="11" t="s">
        <v>309</v>
      </c>
      <c r="D1327" s="20" t="s">
        <v>58</v>
      </c>
      <c r="E1327" s="20">
        <v>45.4</v>
      </c>
      <c r="F1327" s="33">
        <v>0</v>
      </c>
      <c r="G1327" s="15"/>
      <c r="H1327" s="33">
        <f t="shared" ref="H1327:H1337" si="111">F1327*E1327</f>
        <v>0</v>
      </c>
      <c r="I1327" s="15"/>
      <c r="J1327" s="1"/>
      <c r="K1327" s="1">
        <f>1.8*E1327</f>
        <v>81.72</v>
      </c>
    </row>
    <row r="1328" spans="1:11" x14ac:dyDescent="0.25">
      <c r="A1328" s="29" t="s">
        <v>64</v>
      </c>
      <c r="B1328" s="205" t="s">
        <v>13</v>
      </c>
      <c r="C1328" s="11" t="s">
        <v>182</v>
      </c>
      <c r="D1328" s="20" t="s">
        <v>58</v>
      </c>
      <c r="E1328" s="20">
        <v>7.1</v>
      </c>
      <c r="F1328" s="33">
        <v>0</v>
      </c>
      <c r="G1328" s="15"/>
      <c r="H1328" s="33">
        <f t="shared" si="111"/>
        <v>0</v>
      </c>
      <c r="I1328" s="15"/>
      <c r="J1328" s="1"/>
      <c r="K1328" s="1">
        <f>2*E1328</f>
        <v>14.2</v>
      </c>
    </row>
    <row r="1329" spans="1:11" x14ac:dyDescent="0.25">
      <c r="A1329" s="29" t="s">
        <v>65</v>
      </c>
      <c r="B1329" s="205" t="s">
        <v>13</v>
      </c>
      <c r="C1329" s="11" t="s">
        <v>181</v>
      </c>
      <c r="D1329" s="20" t="s">
        <v>58</v>
      </c>
      <c r="E1329" s="72">
        <v>3.7</v>
      </c>
      <c r="F1329" s="33">
        <v>0</v>
      </c>
      <c r="G1329" s="15"/>
      <c r="H1329" s="33">
        <f t="shared" si="111"/>
        <v>0</v>
      </c>
      <c r="I1329" s="15"/>
      <c r="J1329" s="1"/>
      <c r="K1329" s="1">
        <f>2.2*E1329</f>
        <v>8.14</v>
      </c>
    </row>
    <row r="1330" spans="1:11" x14ac:dyDescent="0.25">
      <c r="A1330" s="29" t="s">
        <v>66</v>
      </c>
      <c r="B1330" s="205" t="s">
        <v>13</v>
      </c>
      <c r="C1330" s="11" t="s">
        <v>508</v>
      </c>
      <c r="D1330" s="20" t="s">
        <v>58</v>
      </c>
      <c r="E1330" s="72">
        <v>2.2000000000000002</v>
      </c>
      <c r="F1330" s="33">
        <v>0</v>
      </c>
      <c r="G1330" s="15"/>
      <c r="H1330" s="33">
        <f t="shared" si="111"/>
        <v>0</v>
      </c>
      <c r="I1330" s="15"/>
      <c r="J1330" s="1"/>
      <c r="K1330" s="1">
        <f>2.4*E1330</f>
        <v>5.28</v>
      </c>
    </row>
    <row r="1331" spans="1:11" x14ac:dyDescent="0.25">
      <c r="A1331" s="29" t="s">
        <v>384</v>
      </c>
      <c r="B1331" s="205" t="s">
        <v>13</v>
      </c>
      <c r="C1331" s="11" t="s">
        <v>734</v>
      </c>
      <c r="D1331" s="20" t="s">
        <v>14</v>
      </c>
      <c r="E1331" s="20">
        <v>1</v>
      </c>
      <c r="F1331" s="33">
        <v>0</v>
      </c>
      <c r="G1331" s="15"/>
      <c r="H1331" s="33">
        <f t="shared" si="111"/>
        <v>0</v>
      </c>
      <c r="I1331" s="15"/>
      <c r="J1331" s="1"/>
      <c r="K1331" s="1">
        <f>1.08*E1331</f>
        <v>1.08</v>
      </c>
    </row>
    <row r="1332" spans="1:11" x14ac:dyDescent="0.25">
      <c r="A1332" s="29" t="s">
        <v>385</v>
      </c>
      <c r="B1332" s="205" t="s">
        <v>13</v>
      </c>
      <c r="C1332" s="70" t="s">
        <v>735</v>
      </c>
      <c r="D1332" s="20" t="s">
        <v>14</v>
      </c>
      <c r="E1332" s="71">
        <v>1</v>
      </c>
      <c r="F1332" s="33">
        <v>0</v>
      </c>
      <c r="G1332" s="15"/>
      <c r="H1332" s="33">
        <f t="shared" si="111"/>
        <v>0</v>
      </c>
      <c r="I1332" s="15"/>
      <c r="J1332" s="1"/>
      <c r="K1332" s="1">
        <f>0.27*E1332</f>
        <v>0.27</v>
      </c>
    </row>
    <row r="1333" spans="1:11" x14ac:dyDescent="0.25">
      <c r="A1333" s="29" t="s">
        <v>386</v>
      </c>
      <c r="B1333" s="205" t="s">
        <v>13</v>
      </c>
      <c r="C1333" s="11" t="s">
        <v>604</v>
      </c>
      <c r="D1333" s="20" t="s">
        <v>14</v>
      </c>
      <c r="E1333" s="20">
        <v>1</v>
      </c>
      <c r="F1333" s="33">
        <v>0</v>
      </c>
      <c r="G1333" s="15"/>
      <c r="H1333" s="33">
        <f t="shared" si="111"/>
        <v>0</v>
      </c>
      <c r="I1333" s="15"/>
      <c r="J1333" s="1"/>
      <c r="K1333" s="1">
        <f>0.96*E1333</f>
        <v>0.96</v>
      </c>
    </row>
    <row r="1334" spans="1:11" x14ac:dyDescent="0.25">
      <c r="A1334" s="29" t="s">
        <v>428</v>
      </c>
      <c r="B1334" s="205" t="s">
        <v>13</v>
      </c>
      <c r="C1334" s="11" t="s">
        <v>603</v>
      </c>
      <c r="D1334" s="20" t="s">
        <v>14</v>
      </c>
      <c r="E1334" s="20">
        <v>2</v>
      </c>
      <c r="F1334" s="33">
        <v>0</v>
      </c>
      <c r="G1334" s="15"/>
      <c r="H1334" s="33">
        <f t="shared" si="111"/>
        <v>0</v>
      </c>
      <c r="I1334" s="15"/>
      <c r="J1334" s="1"/>
      <c r="K1334" s="1">
        <f>0.78*E1334</f>
        <v>1.56</v>
      </c>
    </row>
    <row r="1335" spans="1:11" x14ac:dyDescent="0.25">
      <c r="A1335" s="29" t="s">
        <v>852</v>
      </c>
      <c r="B1335" s="205" t="s">
        <v>13</v>
      </c>
      <c r="C1335" s="11" t="s">
        <v>200</v>
      </c>
      <c r="D1335" s="20" t="s">
        <v>14</v>
      </c>
      <c r="E1335" s="20">
        <v>2</v>
      </c>
      <c r="F1335" s="33">
        <v>0</v>
      </c>
      <c r="G1335" s="15"/>
      <c r="H1335" s="33">
        <f t="shared" si="111"/>
        <v>0</v>
      </c>
      <c r="I1335" s="15"/>
      <c r="J1335" s="1"/>
      <c r="K1335" s="1">
        <f>1.16*E1335</f>
        <v>2.3199999999999998</v>
      </c>
    </row>
    <row r="1336" spans="1:11" x14ac:dyDescent="0.25">
      <c r="A1336" s="29" t="s">
        <v>853</v>
      </c>
      <c r="B1336" s="205" t="s">
        <v>13</v>
      </c>
      <c r="C1336" s="11" t="s">
        <v>514</v>
      </c>
      <c r="D1336" s="20" t="s">
        <v>14</v>
      </c>
      <c r="E1336" s="20">
        <v>1</v>
      </c>
      <c r="F1336" s="33">
        <v>0</v>
      </c>
      <c r="G1336" s="15"/>
      <c r="H1336" s="33">
        <f t="shared" si="111"/>
        <v>0</v>
      </c>
      <c r="I1336" s="15"/>
      <c r="J1336" s="1"/>
      <c r="K1336" s="1">
        <f>0.86*E1336</f>
        <v>0.86</v>
      </c>
    </row>
    <row r="1337" spans="1:11" x14ac:dyDescent="0.25">
      <c r="A1337" s="29" t="s">
        <v>854</v>
      </c>
      <c r="B1337" s="205" t="s">
        <v>13</v>
      </c>
      <c r="C1337" s="11" t="s">
        <v>513</v>
      </c>
      <c r="D1337" s="20" t="s">
        <v>14</v>
      </c>
      <c r="E1337" s="20">
        <v>1</v>
      </c>
      <c r="F1337" s="33">
        <v>0</v>
      </c>
      <c r="G1337" s="15"/>
      <c r="H1337" s="33">
        <f t="shared" si="111"/>
        <v>0</v>
      </c>
      <c r="I1337" s="15"/>
      <c r="J1337" s="1"/>
      <c r="K1337" s="1">
        <f>0.68*E1337</f>
        <v>0.68</v>
      </c>
    </row>
    <row r="1338" spans="1:11" ht="42.75" x14ac:dyDescent="0.25">
      <c r="A1338" s="26" t="s">
        <v>32</v>
      </c>
      <c r="B1338" s="228" t="s">
        <v>9</v>
      </c>
      <c r="C1338" s="17" t="s">
        <v>285</v>
      </c>
      <c r="D1338" s="19" t="s">
        <v>54</v>
      </c>
      <c r="E1338" s="75">
        <v>12.8</v>
      </c>
      <c r="F1338" s="33"/>
      <c r="G1338" s="58">
        <v>0</v>
      </c>
      <c r="H1338" s="33"/>
      <c r="I1338" s="58">
        <f>E1338*G1338</f>
        <v>0</v>
      </c>
      <c r="J1338" s="1"/>
      <c r="K1338" s="1">
        <f>K1340+K1341+K1342+K1343</f>
        <v>12.795999999999999</v>
      </c>
    </row>
    <row r="1339" spans="1:11" x14ac:dyDescent="0.25">
      <c r="A1339" s="29" t="s">
        <v>33</v>
      </c>
      <c r="B1339" s="205" t="s">
        <v>13</v>
      </c>
      <c r="C1339" s="11" t="s">
        <v>55</v>
      </c>
      <c r="D1339" s="20" t="s">
        <v>38</v>
      </c>
      <c r="E1339" s="76">
        <f>2.25*E1338</f>
        <v>28.8</v>
      </c>
      <c r="F1339" s="33">
        <v>0</v>
      </c>
      <c r="G1339" s="15"/>
      <c r="H1339" s="33">
        <f t="shared" ref="H1339:H1341" si="112">E1339*F1339</f>
        <v>0</v>
      </c>
      <c r="I1339" s="15"/>
      <c r="J1339" s="1"/>
      <c r="K1339" s="1"/>
    </row>
    <row r="1340" spans="1:11" ht="30" x14ac:dyDescent="0.25">
      <c r="A1340" s="29" t="s">
        <v>34</v>
      </c>
      <c r="B1340" s="205" t="s">
        <v>13</v>
      </c>
      <c r="C1340" s="11" t="s">
        <v>185</v>
      </c>
      <c r="D1340" s="20" t="s">
        <v>58</v>
      </c>
      <c r="E1340" s="20">
        <v>3.1</v>
      </c>
      <c r="F1340" s="33">
        <v>0</v>
      </c>
      <c r="G1340" s="15"/>
      <c r="H1340" s="33">
        <f t="shared" si="112"/>
        <v>0</v>
      </c>
      <c r="I1340" s="15"/>
      <c r="J1340" s="1"/>
      <c r="K1340" s="1">
        <f>2.86*E1340</f>
        <v>8.8659999999999997</v>
      </c>
    </row>
    <row r="1341" spans="1:11" x14ac:dyDescent="0.25">
      <c r="A1341" s="29" t="s">
        <v>35</v>
      </c>
      <c r="B1341" s="205" t="s">
        <v>13</v>
      </c>
      <c r="C1341" s="70" t="s">
        <v>736</v>
      </c>
      <c r="D1341" s="71" t="s">
        <v>14</v>
      </c>
      <c r="E1341" s="71">
        <v>1</v>
      </c>
      <c r="F1341" s="33">
        <v>0</v>
      </c>
      <c r="G1341" s="15"/>
      <c r="H1341" s="33">
        <f t="shared" si="112"/>
        <v>0</v>
      </c>
      <c r="I1341" s="15"/>
      <c r="J1341" s="1"/>
      <c r="K1341" s="1">
        <f>E1341*1.26</f>
        <v>1.26</v>
      </c>
    </row>
    <row r="1342" spans="1:11" x14ac:dyDescent="0.25">
      <c r="A1342" s="29" t="s">
        <v>151</v>
      </c>
      <c r="B1342" s="205" t="s">
        <v>13</v>
      </c>
      <c r="C1342" s="70" t="s">
        <v>489</v>
      </c>
      <c r="D1342" s="71" t="s">
        <v>14</v>
      </c>
      <c r="E1342" s="71">
        <v>1</v>
      </c>
      <c r="F1342" s="33">
        <v>0</v>
      </c>
      <c r="G1342" s="15"/>
      <c r="H1342" s="33">
        <f>E1342*F1342</f>
        <v>0</v>
      </c>
      <c r="I1342" s="15"/>
      <c r="J1342" s="1"/>
      <c r="K1342" s="1">
        <f>1.39*E1342</f>
        <v>1.39</v>
      </c>
    </row>
    <row r="1343" spans="1:11" x14ac:dyDescent="0.25">
      <c r="A1343" s="29" t="s">
        <v>152</v>
      </c>
      <c r="B1343" s="205" t="s">
        <v>13</v>
      </c>
      <c r="C1343" s="70" t="s">
        <v>738</v>
      </c>
      <c r="D1343" s="71" t="s">
        <v>14</v>
      </c>
      <c r="E1343" s="71">
        <v>1</v>
      </c>
      <c r="F1343" s="33">
        <v>0</v>
      </c>
      <c r="G1343" s="15"/>
      <c r="H1343" s="33">
        <f>E1343*F1343</f>
        <v>0</v>
      </c>
      <c r="I1343" s="15"/>
      <c r="J1343" s="1"/>
      <c r="K1343" s="1">
        <f>1.28*E1343</f>
        <v>1.28</v>
      </c>
    </row>
    <row r="1344" spans="1:11" ht="42.75" x14ac:dyDescent="0.25">
      <c r="A1344" s="26" t="s">
        <v>36</v>
      </c>
      <c r="B1344" s="239" t="s">
        <v>9</v>
      </c>
      <c r="C1344" s="17" t="s">
        <v>491</v>
      </c>
      <c r="D1344" s="19" t="s">
        <v>54</v>
      </c>
      <c r="E1344" s="19">
        <v>16.75</v>
      </c>
      <c r="F1344" s="28"/>
      <c r="G1344" s="58"/>
      <c r="H1344" s="28"/>
      <c r="I1344" s="58">
        <f>E1344*G1344</f>
        <v>0</v>
      </c>
      <c r="J1344" s="1"/>
      <c r="K1344" s="312">
        <f>K1346+K1347+K1348+K1349+K1350</f>
        <v>16.75</v>
      </c>
    </row>
    <row r="1345" spans="1:11" x14ac:dyDescent="0.25">
      <c r="A1345" s="29" t="s">
        <v>37</v>
      </c>
      <c r="B1345" s="205" t="s">
        <v>13</v>
      </c>
      <c r="C1345" s="11" t="s">
        <v>165</v>
      </c>
      <c r="D1345" s="20" t="s">
        <v>38</v>
      </c>
      <c r="E1345" s="20">
        <f>2.2*E1344</f>
        <v>36.85</v>
      </c>
      <c r="F1345" s="33">
        <v>0</v>
      </c>
      <c r="G1345" s="15"/>
      <c r="H1345" s="33">
        <f t="shared" ref="H1345:H1350" si="113">E1345*F1345</f>
        <v>0</v>
      </c>
      <c r="I1345" s="15"/>
      <c r="J1345" s="1"/>
      <c r="K1345" s="1"/>
    </row>
    <row r="1346" spans="1:11" ht="30" x14ac:dyDescent="0.25">
      <c r="A1346" s="29" t="s">
        <v>233</v>
      </c>
      <c r="B1346" s="205" t="s">
        <v>13</v>
      </c>
      <c r="C1346" s="11" t="s">
        <v>492</v>
      </c>
      <c r="D1346" s="20" t="s">
        <v>58</v>
      </c>
      <c r="E1346" s="20">
        <v>0.6</v>
      </c>
      <c r="F1346" s="33">
        <v>0</v>
      </c>
      <c r="G1346" s="15"/>
      <c r="H1346" s="33">
        <f t="shared" si="113"/>
        <v>0</v>
      </c>
      <c r="I1346" s="15"/>
      <c r="J1346" s="1"/>
      <c r="K1346" s="1">
        <f>4*E1346</f>
        <v>2.4</v>
      </c>
    </row>
    <row r="1347" spans="1:11" ht="30" x14ac:dyDescent="0.25">
      <c r="A1347" s="29" t="s">
        <v>239</v>
      </c>
      <c r="B1347" s="205" t="s">
        <v>13</v>
      </c>
      <c r="C1347" s="11" t="s">
        <v>493</v>
      </c>
      <c r="D1347" s="20" t="s">
        <v>58</v>
      </c>
      <c r="E1347" s="20">
        <v>1.9</v>
      </c>
      <c r="F1347" s="33">
        <v>0</v>
      </c>
      <c r="G1347" s="15"/>
      <c r="H1347" s="33">
        <f t="shared" si="113"/>
        <v>0</v>
      </c>
      <c r="I1347" s="15"/>
      <c r="J1347" s="1"/>
      <c r="K1347" s="1">
        <f>4*E1347</f>
        <v>7.6</v>
      </c>
    </row>
    <row r="1348" spans="1:11" x14ac:dyDescent="0.25">
      <c r="A1348" s="29" t="s">
        <v>497</v>
      </c>
      <c r="B1348" s="205" t="s">
        <v>13</v>
      </c>
      <c r="C1348" s="11" t="s">
        <v>494</v>
      </c>
      <c r="D1348" s="20" t="s">
        <v>14</v>
      </c>
      <c r="E1348" s="20">
        <v>1</v>
      </c>
      <c r="F1348" s="33">
        <v>0</v>
      </c>
      <c r="G1348" s="15"/>
      <c r="H1348" s="33">
        <f t="shared" si="113"/>
        <v>0</v>
      </c>
      <c r="I1348" s="15"/>
      <c r="J1348" s="1"/>
      <c r="K1348" s="1">
        <f>1.2*E1348</f>
        <v>1.2</v>
      </c>
    </row>
    <row r="1349" spans="1:11" ht="30" x14ac:dyDescent="0.25">
      <c r="A1349" s="29" t="s">
        <v>498</v>
      </c>
      <c r="B1349" s="205" t="s">
        <v>13</v>
      </c>
      <c r="C1349" s="11" t="s">
        <v>495</v>
      </c>
      <c r="D1349" s="20" t="s">
        <v>14</v>
      </c>
      <c r="E1349" s="20">
        <v>1</v>
      </c>
      <c r="F1349" s="33">
        <v>0</v>
      </c>
      <c r="G1349" s="15"/>
      <c r="H1349" s="33">
        <f t="shared" si="113"/>
        <v>0</v>
      </c>
      <c r="I1349" s="15"/>
      <c r="J1349" s="1"/>
      <c r="K1349" s="1">
        <f>4.33*E1349</f>
        <v>4.33</v>
      </c>
    </row>
    <row r="1350" spans="1:11" ht="30" x14ac:dyDescent="0.25">
      <c r="A1350" s="29" t="s">
        <v>499</v>
      </c>
      <c r="B1350" s="205" t="s">
        <v>13</v>
      </c>
      <c r="C1350" s="11" t="s">
        <v>737</v>
      </c>
      <c r="D1350" s="20" t="s">
        <v>14</v>
      </c>
      <c r="E1350" s="20">
        <v>1</v>
      </c>
      <c r="F1350" s="33">
        <v>0</v>
      </c>
      <c r="G1350" s="15"/>
      <c r="H1350" s="33">
        <f t="shared" si="113"/>
        <v>0</v>
      </c>
      <c r="I1350" s="15"/>
      <c r="J1350" s="1"/>
      <c r="K1350" s="312">
        <f>E1350*1.22</f>
        <v>1.22</v>
      </c>
    </row>
    <row r="1351" spans="1:11" ht="28.5" x14ac:dyDescent="0.25">
      <c r="A1351" s="26" t="s">
        <v>39</v>
      </c>
      <c r="B1351" s="228" t="s">
        <v>189</v>
      </c>
      <c r="C1351" s="17" t="s">
        <v>48</v>
      </c>
      <c r="D1351" s="19" t="s">
        <v>14</v>
      </c>
      <c r="E1351" s="328">
        <f>E1352+E1353+E1354</f>
        <v>10</v>
      </c>
      <c r="F1351" s="28"/>
      <c r="G1351" s="58">
        <v>0</v>
      </c>
      <c r="H1351" s="28"/>
      <c r="I1351" s="58">
        <f>E1351*G1351</f>
        <v>0</v>
      </c>
      <c r="J1351" s="1"/>
      <c r="K1351" s="1"/>
    </row>
    <row r="1352" spans="1:11" ht="30" x14ac:dyDescent="0.25">
      <c r="A1352" s="29" t="s">
        <v>40</v>
      </c>
      <c r="B1352" s="205" t="s">
        <v>13</v>
      </c>
      <c r="C1352" s="11" t="s">
        <v>186</v>
      </c>
      <c r="D1352" s="20" t="s">
        <v>14</v>
      </c>
      <c r="E1352" s="175">
        <v>4</v>
      </c>
      <c r="F1352" s="33">
        <v>0</v>
      </c>
      <c r="G1352" s="15"/>
      <c r="H1352" s="33">
        <f>E1352*F1352</f>
        <v>0</v>
      </c>
      <c r="I1352" s="15"/>
      <c r="J1352" s="1"/>
      <c r="K1352" s="1"/>
    </row>
    <row r="1353" spans="1:11" ht="30" x14ac:dyDescent="0.25">
      <c r="A1353" s="29" t="s">
        <v>41</v>
      </c>
      <c r="B1353" s="205" t="s">
        <v>13</v>
      </c>
      <c r="C1353" s="55" t="s">
        <v>187</v>
      </c>
      <c r="D1353" s="94" t="s">
        <v>14</v>
      </c>
      <c r="E1353" s="288">
        <v>4</v>
      </c>
      <c r="F1353" s="186">
        <v>0</v>
      </c>
      <c r="G1353" s="127"/>
      <c r="H1353" s="186">
        <f>E1353*F1353</f>
        <v>0</v>
      </c>
      <c r="I1353" s="127"/>
      <c r="J1353" s="1"/>
      <c r="K1353" s="1"/>
    </row>
    <row r="1354" spans="1:11" ht="30" x14ac:dyDescent="0.25">
      <c r="A1354" s="129" t="s">
        <v>500</v>
      </c>
      <c r="B1354" s="240" t="s">
        <v>13</v>
      </c>
      <c r="C1354" s="55" t="s">
        <v>188</v>
      </c>
      <c r="D1354" s="94" t="s">
        <v>57</v>
      </c>
      <c r="E1354" s="94">
        <v>2</v>
      </c>
      <c r="F1354" s="186">
        <v>0</v>
      </c>
      <c r="G1354" s="127"/>
      <c r="H1354" s="186">
        <f t="shared" ref="H1354" si="114">E1354*F1354</f>
        <v>0</v>
      </c>
      <c r="I1354" s="127"/>
      <c r="J1354" s="1"/>
      <c r="K1354" s="1"/>
    </row>
    <row r="1355" spans="1:11" ht="28.5" x14ac:dyDescent="0.25">
      <c r="A1355" s="18">
        <v>10</v>
      </c>
      <c r="B1355" s="221" t="s">
        <v>9</v>
      </c>
      <c r="C1355" s="17" t="s">
        <v>52</v>
      </c>
      <c r="D1355" s="19" t="s">
        <v>14</v>
      </c>
      <c r="E1355" s="18">
        <v>1</v>
      </c>
      <c r="F1355" s="28"/>
      <c r="G1355" s="117">
        <v>0</v>
      </c>
      <c r="H1355" s="103"/>
      <c r="I1355" s="58">
        <f>E1355*G1355</f>
        <v>0</v>
      </c>
      <c r="J1355" s="1"/>
      <c r="K1355" s="1"/>
    </row>
    <row r="1356" spans="1:11" ht="30" x14ac:dyDescent="0.25">
      <c r="A1356" s="29" t="s">
        <v>42</v>
      </c>
      <c r="B1356" s="220" t="s">
        <v>13</v>
      </c>
      <c r="C1356" s="11" t="s">
        <v>311</v>
      </c>
      <c r="D1356" s="31" t="s">
        <v>14</v>
      </c>
      <c r="E1356" s="104">
        <v>1</v>
      </c>
      <c r="F1356" s="33">
        <v>0</v>
      </c>
      <c r="G1356" s="102"/>
      <c r="H1356" s="113">
        <f>E1356*F1356</f>
        <v>0</v>
      </c>
      <c r="I1356" s="15"/>
      <c r="J1356" s="1"/>
      <c r="K1356" s="1"/>
    </row>
    <row r="1357" spans="1:11" ht="28.5" x14ac:dyDescent="0.25">
      <c r="A1357" s="26" t="s">
        <v>69</v>
      </c>
      <c r="B1357" s="239" t="s">
        <v>9</v>
      </c>
      <c r="C1357" s="17" t="s">
        <v>137</v>
      </c>
      <c r="D1357" s="19" t="s">
        <v>14</v>
      </c>
      <c r="E1357" s="19">
        <v>127</v>
      </c>
      <c r="F1357" s="28"/>
      <c r="G1357" s="58">
        <v>0</v>
      </c>
      <c r="H1357" s="28"/>
      <c r="I1357" s="58">
        <f>E1357*G1357</f>
        <v>0</v>
      </c>
      <c r="J1357" s="1"/>
      <c r="K1357" s="1"/>
    </row>
    <row r="1358" spans="1:11" x14ac:dyDescent="0.25">
      <c r="A1358" s="29" t="s">
        <v>70</v>
      </c>
      <c r="B1358" s="205" t="s">
        <v>13</v>
      </c>
      <c r="C1358" s="11" t="s">
        <v>191</v>
      </c>
      <c r="D1358" s="20" t="s">
        <v>14</v>
      </c>
      <c r="E1358" s="20">
        <v>127</v>
      </c>
      <c r="F1358" s="33">
        <v>0</v>
      </c>
      <c r="G1358" s="58"/>
      <c r="H1358" s="186">
        <f t="shared" ref="H1358" si="115">E1358*F1358</f>
        <v>0</v>
      </c>
      <c r="I1358" s="58"/>
      <c r="J1358" s="1"/>
      <c r="K1358" s="1"/>
    </row>
    <row r="1359" spans="1:11" ht="28.5" x14ac:dyDescent="0.25">
      <c r="A1359" s="26" t="s">
        <v>246</v>
      </c>
      <c r="B1359" s="239" t="s">
        <v>9</v>
      </c>
      <c r="C1359" s="17" t="s">
        <v>502</v>
      </c>
      <c r="D1359" s="19" t="s">
        <v>14</v>
      </c>
      <c r="E1359" s="19">
        <v>111</v>
      </c>
      <c r="F1359" s="28"/>
      <c r="G1359" s="58">
        <v>0</v>
      </c>
      <c r="H1359" s="28"/>
      <c r="I1359" s="58">
        <f>E1359*G1359</f>
        <v>0</v>
      </c>
      <c r="J1359" s="1"/>
      <c r="K1359" s="1"/>
    </row>
    <row r="1360" spans="1:11" x14ac:dyDescent="0.25">
      <c r="A1360" s="129" t="s">
        <v>73</v>
      </c>
      <c r="B1360" s="205" t="s">
        <v>13</v>
      </c>
      <c r="C1360" s="11" t="s">
        <v>190</v>
      </c>
      <c r="D1360" s="20" t="s">
        <v>14</v>
      </c>
      <c r="E1360" s="20">
        <v>111</v>
      </c>
      <c r="F1360" s="33">
        <v>0</v>
      </c>
      <c r="G1360" s="15"/>
      <c r="H1360" s="186">
        <f t="shared" ref="H1360" si="116">E1360*F1360</f>
        <v>0</v>
      </c>
      <c r="I1360" s="15"/>
      <c r="J1360" s="1"/>
      <c r="K1360" s="1"/>
    </row>
    <row r="1361" spans="1:11" ht="28.5" x14ac:dyDescent="0.25">
      <c r="A1361" s="251">
        <v>13</v>
      </c>
      <c r="B1361" s="239" t="s">
        <v>9</v>
      </c>
      <c r="C1361" s="17" t="s">
        <v>739</v>
      </c>
      <c r="D1361" s="19" t="s">
        <v>14</v>
      </c>
      <c r="E1361" s="19">
        <v>1</v>
      </c>
      <c r="F1361" s="28"/>
      <c r="G1361" s="58">
        <v>0</v>
      </c>
      <c r="H1361" s="28"/>
      <c r="I1361" s="58">
        <f>E1361*G1361</f>
        <v>0</v>
      </c>
      <c r="J1361" s="1"/>
      <c r="K1361" s="1"/>
    </row>
    <row r="1362" spans="1:11" ht="30" x14ac:dyDescent="0.25">
      <c r="A1362" s="29" t="s">
        <v>77</v>
      </c>
      <c r="B1362" s="205" t="s">
        <v>13</v>
      </c>
      <c r="C1362" s="11" t="s">
        <v>740</v>
      </c>
      <c r="D1362" s="20" t="s">
        <v>14</v>
      </c>
      <c r="E1362" s="20">
        <v>1</v>
      </c>
      <c r="F1362" s="33">
        <v>0</v>
      </c>
      <c r="G1362" s="15"/>
      <c r="H1362" s="33">
        <f>E1362*F1362</f>
        <v>0</v>
      </c>
      <c r="I1362" s="15"/>
      <c r="J1362" s="1"/>
      <c r="K1362" s="1"/>
    </row>
    <row r="1363" spans="1:11" ht="28.5" x14ac:dyDescent="0.25">
      <c r="A1363" s="26" t="s">
        <v>802</v>
      </c>
      <c r="B1363" s="239" t="s">
        <v>9</v>
      </c>
      <c r="C1363" s="17" t="s">
        <v>803</v>
      </c>
      <c r="D1363" s="19" t="s">
        <v>472</v>
      </c>
      <c r="E1363" s="19">
        <v>5</v>
      </c>
      <c r="F1363" s="28"/>
      <c r="G1363" s="58">
        <v>0</v>
      </c>
      <c r="H1363" s="28"/>
      <c r="I1363" s="58">
        <f>E1363*G1363</f>
        <v>0</v>
      </c>
      <c r="J1363" s="1"/>
      <c r="K1363" s="1"/>
    </row>
    <row r="1364" spans="1:11" ht="28.5" x14ac:dyDescent="0.25">
      <c r="A1364" s="26" t="s">
        <v>78</v>
      </c>
      <c r="B1364" s="239" t="s">
        <v>9</v>
      </c>
      <c r="C1364" s="17" t="s">
        <v>211</v>
      </c>
      <c r="D1364" s="19" t="s">
        <v>54</v>
      </c>
      <c r="E1364" s="19">
        <v>866.1</v>
      </c>
      <c r="F1364" s="28"/>
      <c r="G1364" s="58">
        <v>0</v>
      </c>
      <c r="H1364" s="28"/>
      <c r="I1364" s="58">
        <f>E1364*G1364</f>
        <v>0</v>
      </c>
      <c r="J1364" s="1"/>
      <c r="K1364" s="1"/>
    </row>
    <row r="1365" spans="1:11" x14ac:dyDescent="0.25">
      <c r="A1365" s="130" t="s">
        <v>79</v>
      </c>
      <c r="B1365" s="206" t="s">
        <v>13</v>
      </c>
      <c r="C1365" s="188" t="s">
        <v>209</v>
      </c>
      <c r="D1365" s="90" t="s">
        <v>54</v>
      </c>
      <c r="E1365" s="90">
        <f>1.1*E1364</f>
        <v>952.71</v>
      </c>
      <c r="F1365" s="62">
        <v>0</v>
      </c>
      <c r="G1365" s="119"/>
      <c r="H1365" s="62">
        <f>E1365*F1365</f>
        <v>0</v>
      </c>
      <c r="I1365" s="119"/>
      <c r="J1365" s="1"/>
      <c r="K1365" s="1"/>
    </row>
    <row r="1366" spans="1:11" x14ac:dyDescent="0.25">
      <c r="A1366" s="130" t="s">
        <v>392</v>
      </c>
      <c r="B1366" s="206" t="s">
        <v>13</v>
      </c>
      <c r="C1366" s="188" t="s">
        <v>210</v>
      </c>
      <c r="D1366" s="90" t="s">
        <v>38</v>
      </c>
      <c r="E1366" s="90">
        <f>0.7*E1364</f>
        <v>606.27</v>
      </c>
      <c r="F1366" s="62">
        <v>0</v>
      </c>
      <c r="G1366" s="119"/>
      <c r="H1366" s="62">
        <f>E1366*F1366</f>
        <v>0</v>
      </c>
      <c r="I1366" s="119"/>
      <c r="J1366" s="1"/>
      <c r="K1366" s="1"/>
    </row>
    <row r="1367" spans="1:11" x14ac:dyDescent="0.25">
      <c r="A1367" s="173" t="s">
        <v>80</v>
      </c>
      <c r="B1367" s="252" t="s">
        <v>9</v>
      </c>
      <c r="C1367" s="250" t="s">
        <v>202</v>
      </c>
      <c r="D1367" s="88" t="s">
        <v>54</v>
      </c>
      <c r="E1367" s="88">
        <v>8.5</v>
      </c>
      <c r="F1367" s="150"/>
      <c r="G1367" s="65">
        <v>0</v>
      </c>
      <c r="H1367" s="150"/>
      <c r="I1367" s="65">
        <f>E1367*G1367</f>
        <v>0</v>
      </c>
      <c r="J1367" s="1"/>
      <c r="K1367" s="1"/>
    </row>
    <row r="1368" spans="1:11" x14ac:dyDescent="0.25">
      <c r="A1368" s="130" t="s">
        <v>81</v>
      </c>
      <c r="B1368" s="206" t="s">
        <v>13</v>
      </c>
      <c r="C1368" s="188" t="s">
        <v>203</v>
      </c>
      <c r="D1368" s="90" t="s">
        <v>54</v>
      </c>
      <c r="E1368" s="90">
        <v>8.5</v>
      </c>
      <c r="F1368" s="62">
        <v>0</v>
      </c>
      <c r="G1368" s="119"/>
      <c r="H1368" s="62">
        <f>E1368*F1368</f>
        <v>0</v>
      </c>
      <c r="I1368" s="119"/>
      <c r="J1368" s="1"/>
      <c r="K1368" s="1"/>
    </row>
    <row r="1369" spans="1:11" ht="30.75" thickBot="1" x14ac:dyDescent="0.3">
      <c r="A1369" s="129" t="s">
        <v>82</v>
      </c>
      <c r="B1369" s="240" t="s">
        <v>13</v>
      </c>
      <c r="C1369" s="55" t="s">
        <v>204</v>
      </c>
      <c r="D1369" s="94" t="s">
        <v>54</v>
      </c>
      <c r="E1369" s="94">
        <v>8.5</v>
      </c>
      <c r="F1369" s="186">
        <v>0</v>
      </c>
      <c r="G1369" s="127"/>
      <c r="H1369" s="186">
        <f>E1369*F1369</f>
        <v>0</v>
      </c>
      <c r="I1369" s="127"/>
      <c r="J1369" s="1"/>
      <c r="K1369" s="1"/>
    </row>
    <row r="1370" spans="1:11" ht="15.75" thickBot="1" x14ac:dyDescent="0.3">
      <c r="A1370" s="83"/>
      <c r="B1370" s="313"/>
      <c r="C1370" s="268" t="s">
        <v>417</v>
      </c>
      <c r="D1370" s="48"/>
      <c r="E1370" s="48"/>
      <c r="F1370" s="132"/>
      <c r="G1370" s="52"/>
      <c r="H1370" s="99">
        <f>SUM(H1294:H1369)</f>
        <v>0</v>
      </c>
      <c r="I1370" s="86">
        <f>SUM(I1293:I1369)</f>
        <v>0</v>
      </c>
      <c r="J1370" s="1"/>
      <c r="K1370" s="1"/>
    </row>
    <row r="1371" spans="1:11" ht="15.75" thickBot="1" x14ac:dyDescent="0.3">
      <c r="A1371" s="83"/>
      <c r="B1371" s="207"/>
      <c r="C1371" s="47" t="s">
        <v>741</v>
      </c>
      <c r="D1371" s="48"/>
      <c r="E1371" s="48"/>
      <c r="F1371" s="132"/>
      <c r="G1371" s="52"/>
      <c r="H1371" s="132"/>
      <c r="I1371" s="52"/>
      <c r="J1371" s="1"/>
      <c r="K1371" s="1"/>
    </row>
    <row r="1372" spans="1:11" ht="42.75" x14ac:dyDescent="0.25">
      <c r="A1372" s="67" t="s">
        <v>86</v>
      </c>
      <c r="B1372" s="204" t="s">
        <v>9</v>
      </c>
      <c r="C1372" s="68" t="s">
        <v>53</v>
      </c>
      <c r="D1372" s="69" t="s">
        <v>54</v>
      </c>
      <c r="E1372" s="69">
        <v>137.72</v>
      </c>
      <c r="F1372" s="96"/>
      <c r="G1372" s="42">
        <v>0</v>
      </c>
      <c r="H1372" s="96"/>
      <c r="I1372" s="42">
        <f>E1372*G1372</f>
        <v>0</v>
      </c>
      <c r="J1372" s="1"/>
      <c r="K1372" s="1">
        <f>K1374+K1375+K1376+K1377</f>
        <v>137.72</v>
      </c>
    </row>
    <row r="1373" spans="1:11" x14ac:dyDescent="0.25">
      <c r="A1373" s="29" t="s">
        <v>87</v>
      </c>
      <c r="B1373" s="205" t="s">
        <v>13</v>
      </c>
      <c r="C1373" s="70" t="s">
        <v>55</v>
      </c>
      <c r="D1373" s="71" t="s">
        <v>38</v>
      </c>
      <c r="E1373" s="72">
        <f>0.606*E1372</f>
        <v>83.46</v>
      </c>
      <c r="F1373" s="33">
        <v>0</v>
      </c>
      <c r="G1373" s="15"/>
      <c r="H1373" s="33">
        <f>E1373*F1373</f>
        <v>0</v>
      </c>
      <c r="I1373" s="15"/>
      <c r="J1373" s="1"/>
      <c r="K1373" s="1"/>
    </row>
    <row r="1374" spans="1:11" x14ac:dyDescent="0.25">
      <c r="A1374" s="29" t="s">
        <v>396</v>
      </c>
      <c r="B1374" s="205" t="s">
        <v>13</v>
      </c>
      <c r="C1374" s="70" t="s">
        <v>56</v>
      </c>
      <c r="D1374" s="71" t="s">
        <v>58</v>
      </c>
      <c r="E1374" s="71">
        <v>264.2</v>
      </c>
      <c r="F1374" s="33">
        <v>0</v>
      </c>
      <c r="G1374" s="15"/>
      <c r="H1374" s="33">
        <f>E1374*F1374</f>
        <v>0</v>
      </c>
      <c r="I1374" s="15"/>
      <c r="J1374" s="1"/>
      <c r="K1374" s="1">
        <v>83</v>
      </c>
    </row>
    <row r="1375" spans="1:11" ht="30" x14ac:dyDescent="0.25">
      <c r="A1375" s="29" t="s">
        <v>398</v>
      </c>
      <c r="B1375" s="205" t="s">
        <v>13</v>
      </c>
      <c r="C1375" s="128" t="s">
        <v>172</v>
      </c>
      <c r="D1375" s="71" t="s">
        <v>14</v>
      </c>
      <c r="E1375" s="71">
        <v>160</v>
      </c>
      <c r="F1375" s="33">
        <v>0</v>
      </c>
      <c r="G1375" s="15"/>
      <c r="H1375" s="33">
        <f t="shared" ref="H1375:H1376" si="117">E1375*F1375</f>
        <v>0</v>
      </c>
      <c r="I1375" s="15"/>
      <c r="J1375" s="1"/>
      <c r="K1375" s="1">
        <f>E1375*0.05</f>
        <v>8</v>
      </c>
    </row>
    <row r="1376" spans="1:11" ht="30" x14ac:dyDescent="0.25">
      <c r="A1376" s="29" t="s">
        <v>397</v>
      </c>
      <c r="B1376" s="205" t="s">
        <v>13</v>
      </c>
      <c r="C1376" s="128" t="s">
        <v>173</v>
      </c>
      <c r="D1376" s="71" t="s">
        <v>14</v>
      </c>
      <c r="E1376" s="71">
        <v>112</v>
      </c>
      <c r="F1376" s="33">
        <v>0</v>
      </c>
      <c r="G1376" s="15"/>
      <c r="H1376" s="33">
        <f t="shared" si="117"/>
        <v>0</v>
      </c>
      <c r="I1376" s="15"/>
      <c r="J1376" s="1"/>
      <c r="K1376" s="1">
        <f>E1376*0.06</f>
        <v>6.72</v>
      </c>
    </row>
    <row r="1377" spans="1:11" x14ac:dyDescent="0.25">
      <c r="A1377" s="29" t="s">
        <v>399</v>
      </c>
      <c r="B1377" s="205" t="s">
        <v>13</v>
      </c>
      <c r="C1377" s="128" t="s">
        <v>442</v>
      </c>
      <c r="D1377" s="71" t="s">
        <v>14</v>
      </c>
      <c r="E1377" s="71">
        <v>400</v>
      </c>
      <c r="F1377" s="33">
        <v>0</v>
      </c>
      <c r="G1377" s="15"/>
      <c r="H1377" s="33">
        <f>E1377*F1377</f>
        <v>0</v>
      </c>
      <c r="I1377" s="15"/>
      <c r="J1377" s="1"/>
      <c r="K1377" s="1">
        <f>E1377*0.1</f>
        <v>40</v>
      </c>
    </row>
    <row r="1378" spans="1:11" ht="42.75" x14ac:dyDescent="0.25">
      <c r="A1378" s="26" t="s">
        <v>88</v>
      </c>
      <c r="B1378" s="228" t="s">
        <v>9</v>
      </c>
      <c r="C1378" s="74" t="s">
        <v>153</v>
      </c>
      <c r="D1378" s="75" t="s">
        <v>54</v>
      </c>
      <c r="E1378" s="75">
        <v>185.65</v>
      </c>
      <c r="F1378" s="28"/>
      <c r="G1378" s="58">
        <v>0</v>
      </c>
      <c r="H1378" s="28"/>
      <c r="I1378" s="58">
        <f>E1378*G1378</f>
        <v>0</v>
      </c>
      <c r="J1378" s="1"/>
      <c r="K1378" s="1">
        <f>K1380+K1381+K1382</f>
        <v>185.65</v>
      </c>
    </row>
    <row r="1379" spans="1:11" x14ac:dyDescent="0.25">
      <c r="A1379" s="29" t="s">
        <v>89</v>
      </c>
      <c r="B1379" s="205" t="s">
        <v>13</v>
      </c>
      <c r="C1379" s="70" t="s">
        <v>55</v>
      </c>
      <c r="D1379" s="71" t="s">
        <v>38</v>
      </c>
      <c r="E1379" s="72">
        <f>0.606*E1378</f>
        <v>112.5</v>
      </c>
      <c r="F1379" s="33">
        <v>0</v>
      </c>
      <c r="G1379" s="15"/>
      <c r="H1379" s="33">
        <f t="shared" ref="H1379:H1383" si="118">E1379*F1379</f>
        <v>0</v>
      </c>
      <c r="I1379" s="15"/>
      <c r="J1379" s="1"/>
      <c r="K1379" s="1"/>
    </row>
    <row r="1380" spans="1:11" x14ac:dyDescent="0.25">
      <c r="A1380" s="29" t="s">
        <v>90</v>
      </c>
      <c r="B1380" s="205" t="s">
        <v>13</v>
      </c>
      <c r="C1380" s="70" t="s">
        <v>155</v>
      </c>
      <c r="D1380" s="71" t="s">
        <v>58</v>
      </c>
      <c r="E1380" s="71">
        <v>478.4</v>
      </c>
      <c r="F1380" s="33">
        <v>0</v>
      </c>
      <c r="G1380" s="15"/>
      <c r="H1380" s="33">
        <f t="shared" si="118"/>
        <v>0</v>
      </c>
      <c r="I1380" s="15"/>
      <c r="J1380" s="1"/>
      <c r="K1380" s="1">
        <v>150.29</v>
      </c>
    </row>
    <row r="1381" spans="1:11" x14ac:dyDescent="0.25">
      <c r="A1381" s="29" t="s">
        <v>91</v>
      </c>
      <c r="B1381" s="205" t="s">
        <v>13</v>
      </c>
      <c r="C1381" s="70" t="s">
        <v>158</v>
      </c>
      <c r="D1381" s="71" t="s">
        <v>14</v>
      </c>
      <c r="E1381" s="71">
        <v>272</v>
      </c>
      <c r="F1381" s="33">
        <v>0</v>
      </c>
      <c r="G1381" s="15"/>
      <c r="H1381" s="33">
        <f t="shared" si="118"/>
        <v>0</v>
      </c>
      <c r="I1381" s="15"/>
      <c r="J1381" s="1"/>
      <c r="K1381" s="1">
        <f>E1381*0.03</f>
        <v>8.16</v>
      </c>
    </row>
    <row r="1382" spans="1:11" x14ac:dyDescent="0.25">
      <c r="A1382" s="29" t="s">
        <v>400</v>
      </c>
      <c r="B1382" s="205" t="s">
        <v>13</v>
      </c>
      <c r="C1382" s="70" t="s">
        <v>441</v>
      </c>
      <c r="D1382" s="71" t="s">
        <v>14</v>
      </c>
      <c r="E1382" s="71">
        <v>272</v>
      </c>
      <c r="F1382" s="33">
        <v>0</v>
      </c>
      <c r="G1382" s="15"/>
      <c r="H1382" s="33">
        <f t="shared" si="118"/>
        <v>0</v>
      </c>
      <c r="I1382" s="15"/>
      <c r="J1382" s="1"/>
      <c r="K1382" s="1">
        <f>E1382*0.1</f>
        <v>27.2</v>
      </c>
    </row>
    <row r="1383" spans="1:11" ht="30" x14ac:dyDescent="0.25">
      <c r="A1383" s="29" t="s">
        <v>401</v>
      </c>
      <c r="B1383" s="205" t="s">
        <v>13</v>
      </c>
      <c r="C1383" s="11" t="s">
        <v>156</v>
      </c>
      <c r="D1383" s="20" t="s">
        <v>14</v>
      </c>
      <c r="E1383" s="20">
        <v>272</v>
      </c>
      <c r="F1383" s="33">
        <v>0</v>
      </c>
      <c r="G1383" s="15"/>
      <c r="H1383" s="33">
        <f t="shared" si="118"/>
        <v>0</v>
      </c>
      <c r="I1383" s="15"/>
      <c r="J1383" s="1"/>
      <c r="K1383" s="1"/>
    </row>
    <row r="1384" spans="1:11" ht="42.75" x14ac:dyDescent="0.25">
      <c r="A1384" s="26" t="s">
        <v>92</v>
      </c>
      <c r="B1384" s="239" t="s">
        <v>9</v>
      </c>
      <c r="C1384" s="250" t="s">
        <v>157</v>
      </c>
      <c r="D1384" s="19" t="s">
        <v>54</v>
      </c>
      <c r="E1384" s="19">
        <v>75.260000000000005</v>
      </c>
      <c r="F1384" s="28"/>
      <c r="G1384" s="58">
        <v>0</v>
      </c>
      <c r="H1384" s="28"/>
      <c r="I1384" s="58">
        <f>E1384*G1384</f>
        <v>0</v>
      </c>
      <c r="J1384" s="1"/>
      <c r="K1384" s="1">
        <f>K1386+K1387+K1388+K1389+K1390</f>
        <v>75.260000000000005</v>
      </c>
    </row>
    <row r="1385" spans="1:11" x14ac:dyDescent="0.25">
      <c r="A1385" s="29" t="s">
        <v>93</v>
      </c>
      <c r="B1385" s="205" t="s">
        <v>13</v>
      </c>
      <c r="C1385" s="188" t="s">
        <v>165</v>
      </c>
      <c r="D1385" s="20" t="s">
        <v>38</v>
      </c>
      <c r="E1385" s="76">
        <f>0.712*E1384</f>
        <v>53.59</v>
      </c>
      <c r="F1385" s="33">
        <v>0</v>
      </c>
      <c r="G1385" s="15"/>
      <c r="H1385" s="33">
        <f t="shared" ref="H1385:H1390" si="119">E1385*F1385</f>
        <v>0</v>
      </c>
      <c r="I1385" s="15"/>
      <c r="J1385" s="1"/>
      <c r="K1385" s="1"/>
    </row>
    <row r="1386" spans="1:11" x14ac:dyDescent="0.25">
      <c r="A1386" s="29" t="s">
        <v>94</v>
      </c>
      <c r="B1386" s="205" t="s">
        <v>13</v>
      </c>
      <c r="C1386" s="188" t="s">
        <v>160</v>
      </c>
      <c r="D1386" s="20" t="s">
        <v>58</v>
      </c>
      <c r="E1386" s="20">
        <v>1.1000000000000001</v>
      </c>
      <c r="F1386" s="33">
        <v>0</v>
      </c>
      <c r="G1386" s="15"/>
      <c r="H1386" s="33">
        <f t="shared" si="119"/>
        <v>0</v>
      </c>
      <c r="I1386" s="15"/>
      <c r="J1386" s="1"/>
      <c r="K1386" s="1">
        <f>0.8*E1386</f>
        <v>0.88</v>
      </c>
    </row>
    <row r="1387" spans="1:11" x14ac:dyDescent="0.25">
      <c r="A1387" s="29" t="s">
        <v>95</v>
      </c>
      <c r="B1387" s="205" t="s">
        <v>13</v>
      </c>
      <c r="C1387" s="188" t="s">
        <v>161</v>
      </c>
      <c r="D1387" s="20" t="s">
        <v>58</v>
      </c>
      <c r="E1387" s="20">
        <v>90.8</v>
      </c>
      <c r="F1387" s="33">
        <v>0</v>
      </c>
      <c r="G1387" s="15"/>
      <c r="H1387" s="33">
        <f t="shared" si="119"/>
        <v>0</v>
      </c>
      <c r="I1387" s="15"/>
      <c r="J1387" s="1"/>
      <c r="K1387" s="1">
        <f>0.8*E1387</f>
        <v>72.64</v>
      </c>
    </row>
    <row r="1388" spans="1:11" x14ac:dyDescent="0.25">
      <c r="A1388" s="29" t="s">
        <v>408</v>
      </c>
      <c r="B1388" s="205" t="s">
        <v>13</v>
      </c>
      <c r="C1388" s="188" t="s">
        <v>162</v>
      </c>
      <c r="D1388" s="20" t="s">
        <v>14</v>
      </c>
      <c r="E1388" s="20">
        <v>2</v>
      </c>
      <c r="F1388" s="33">
        <v>0</v>
      </c>
      <c r="G1388" s="15"/>
      <c r="H1388" s="33">
        <f t="shared" si="119"/>
        <v>0</v>
      </c>
      <c r="I1388" s="15"/>
      <c r="J1388" s="1"/>
      <c r="K1388" s="1">
        <f>0.4*E1388</f>
        <v>0.8</v>
      </c>
    </row>
    <row r="1389" spans="1:11" x14ac:dyDescent="0.25">
      <c r="A1389" s="29" t="s">
        <v>410</v>
      </c>
      <c r="B1389" s="205" t="s">
        <v>13</v>
      </c>
      <c r="C1389" s="188" t="s">
        <v>171</v>
      </c>
      <c r="D1389" s="20" t="s">
        <v>14</v>
      </c>
      <c r="E1389" s="20">
        <v>2</v>
      </c>
      <c r="F1389" s="33">
        <v>0</v>
      </c>
      <c r="G1389" s="15"/>
      <c r="H1389" s="33">
        <f t="shared" si="119"/>
        <v>0</v>
      </c>
      <c r="I1389" s="15"/>
      <c r="J1389" s="1"/>
      <c r="K1389" s="1">
        <f>0.08*E1389</f>
        <v>0.16</v>
      </c>
    </row>
    <row r="1390" spans="1:11" ht="30" x14ac:dyDescent="0.25">
      <c r="A1390" s="29" t="s">
        <v>411</v>
      </c>
      <c r="B1390" s="205" t="s">
        <v>13</v>
      </c>
      <c r="C1390" s="188" t="s">
        <v>164</v>
      </c>
      <c r="D1390" s="20" t="s">
        <v>14</v>
      </c>
      <c r="E1390" s="20">
        <v>2</v>
      </c>
      <c r="F1390" s="33">
        <v>0</v>
      </c>
      <c r="G1390" s="15"/>
      <c r="H1390" s="33">
        <f t="shared" si="119"/>
        <v>0</v>
      </c>
      <c r="I1390" s="15"/>
      <c r="J1390" s="1"/>
      <c r="K1390" s="1">
        <f>0.39*E1390</f>
        <v>0.78</v>
      </c>
    </row>
    <row r="1391" spans="1:11" ht="42.75" x14ac:dyDescent="0.25">
      <c r="A1391" s="315" t="s">
        <v>96</v>
      </c>
      <c r="B1391" s="316" t="s">
        <v>9</v>
      </c>
      <c r="C1391" s="74" t="s">
        <v>166</v>
      </c>
      <c r="D1391" s="75" t="s">
        <v>54</v>
      </c>
      <c r="E1391" s="75">
        <v>584.23</v>
      </c>
      <c r="F1391" s="317"/>
      <c r="G1391" s="318">
        <v>0</v>
      </c>
      <c r="H1391" s="317"/>
      <c r="I1391" s="318">
        <f>E1391*G1391</f>
        <v>0</v>
      </c>
      <c r="J1391" s="276"/>
      <c r="K1391" s="276">
        <f>SUM(K1393:K1410)</f>
        <v>584.23</v>
      </c>
    </row>
    <row r="1392" spans="1:11" x14ac:dyDescent="0.25">
      <c r="A1392" s="29" t="s">
        <v>97</v>
      </c>
      <c r="B1392" s="205" t="s">
        <v>13</v>
      </c>
      <c r="C1392" s="11" t="s">
        <v>55</v>
      </c>
      <c r="D1392" s="20" t="s">
        <v>38</v>
      </c>
      <c r="E1392" s="76">
        <f>1.22*E1391</f>
        <v>712.76</v>
      </c>
      <c r="F1392" s="33">
        <v>0</v>
      </c>
      <c r="G1392" s="15"/>
      <c r="H1392" s="33">
        <f t="shared" ref="H1392:H1410" si="120">E1392*F1392</f>
        <v>0</v>
      </c>
      <c r="I1392" s="15"/>
      <c r="J1392" s="1"/>
      <c r="K1392" s="1"/>
    </row>
    <row r="1393" spans="1:11" x14ac:dyDescent="0.25">
      <c r="A1393" s="29" t="s">
        <v>98</v>
      </c>
      <c r="B1393" s="205" t="s">
        <v>13</v>
      </c>
      <c r="C1393" s="11" t="s">
        <v>193</v>
      </c>
      <c r="D1393" s="20" t="s">
        <v>58</v>
      </c>
      <c r="E1393" s="20">
        <v>90.7</v>
      </c>
      <c r="F1393" s="33">
        <v>0</v>
      </c>
      <c r="G1393" s="15"/>
      <c r="H1393" s="33">
        <f t="shared" si="120"/>
        <v>0</v>
      </c>
      <c r="I1393" s="15"/>
      <c r="J1393" s="1"/>
      <c r="K1393" s="1">
        <f>1.1*E1393</f>
        <v>99.77</v>
      </c>
    </row>
    <row r="1394" spans="1:11" ht="30" x14ac:dyDescent="0.25">
      <c r="A1394" s="29" t="s">
        <v>414</v>
      </c>
      <c r="B1394" s="205" t="s">
        <v>13</v>
      </c>
      <c r="C1394" s="11" t="s">
        <v>742</v>
      </c>
      <c r="D1394" s="20" t="s">
        <v>58</v>
      </c>
      <c r="E1394" s="20">
        <v>136</v>
      </c>
      <c r="F1394" s="33">
        <v>0</v>
      </c>
      <c r="G1394" s="15"/>
      <c r="H1394" s="33">
        <f t="shared" si="120"/>
        <v>0</v>
      </c>
      <c r="I1394" s="15"/>
      <c r="J1394" s="1"/>
      <c r="K1394" s="1">
        <f>1.4*E1394</f>
        <v>190.4</v>
      </c>
    </row>
    <row r="1395" spans="1:11" x14ac:dyDescent="0.25">
      <c r="A1395" s="29" t="s">
        <v>412</v>
      </c>
      <c r="B1395" s="205" t="s">
        <v>13</v>
      </c>
      <c r="C1395" s="11" t="s">
        <v>505</v>
      </c>
      <c r="D1395" s="20" t="s">
        <v>58</v>
      </c>
      <c r="E1395" s="71">
        <v>182</v>
      </c>
      <c r="F1395" s="33">
        <v>0</v>
      </c>
      <c r="G1395" s="15"/>
      <c r="H1395" s="33">
        <f t="shared" si="120"/>
        <v>0</v>
      </c>
      <c r="I1395" s="15"/>
      <c r="J1395" s="1"/>
      <c r="K1395" s="1">
        <f>1.5*E1395</f>
        <v>273</v>
      </c>
    </row>
    <row r="1396" spans="1:11" x14ac:dyDescent="0.25">
      <c r="A1396" s="29" t="s">
        <v>413</v>
      </c>
      <c r="B1396" s="205" t="s">
        <v>13</v>
      </c>
      <c r="C1396" s="11" t="s">
        <v>169</v>
      </c>
      <c r="D1396" s="20" t="s">
        <v>58</v>
      </c>
      <c r="E1396" s="20">
        <v>1.4</v>
      </c>
      <c r="F1396" s="33">
        <v>0</v>
      </c>
      <c r="G1396" s="15"/>
      <c r="H1396" s="33">
        <f t="shared" si="120"/>
        <v>0</v>
      </c>
      <c r="I1396" s="15"/>
      <c r="J1396" s="1"/>
      <c r="K1396" s="1">
        <f>1.3*E1396</f>
        <v>1.82</v>
      </c>
    </row>
    <row r="1397" spans="1:11" ht="30" x14ac:dyDescent="0.25">
      <c r="A1397" s="29" t="s">
        <v>436</v>
      </c>
      <c r="B1397" s="205" t="s">
        <v>13</v>
      </c>
      <c r="C1397" s="11" t="s">
        <v>644</v>
      </c>
      <c r="D1397" s="20" t="s">
        <v>58</v>
      </c>
      <c r="E1397" s="20">
        <v>0.1</v>
      </c>
      <c r="F1397" s="33">
        <v>0</v>
      </c>
      <c r="G1397" s="15"/>
      <c r="H1397" s="33">
        <f t="shared" si="120"/>
        <v>0</v>
      </c>
      <c r="I1397" s="15"/>
      <c r="J1397" s="1"/>
      <c r="K1397" s="1">
        <f>1.1*E1397</f>
        <v>0.11</v>
      </c>
    </row>
    <row r="1398" spans="1:11" x14ac:dyDescent="0.25">
      <c r="A1398" s="29" t="s">
        <v>612</v>
      </c>
      <c r="B1398" s="205" t="s">
        <v>13</v>
      </c>
      <c r="C1398" s="11" t="s">
        <v>170</v>
      </c>
      <c r="D1398" s="20" t="s">
        <v>58</v>
      </c>
      <c r="E1398" s="20">
        <v>3.4</v>
      </c>
      <c r="F1398" s="33">
        <v>0</v>
      </c>
      <c r="G1398" s="15"/>
      <c r="H1398" s="33">
        <f t="shared" si="120"/>
        <v>0</v>
      </c>
      <c r="I1398" s="15"/>
      <c r="J1398" s="1"/>
      <c r="K1398" s="1">
        <f>1.5*E1398</f>
        <v>5.0999999999999996</v>
      </c>
    </row>
    <row r="1399" spans="1:11" x14ac:dyDescent="0.25">
      <c r="A1399" s="29" t="s">
        <v>613</v>
      </c>
      <c r="B1399" s="205" t="s">
        <v>13</v>
      </c>
      <c r="C1399" s="11" t="s">
        <v>743</v>
      </c>
      <c r="D1399" s="20" t="s">
        <v>14</v>
      </c>
      <c r="E1399" s="20">
        <v>2</v>
      </c>
      <c r="F1399" s="33">
        <v>0</v>
      </c>
      <c r="G1399" s="15"/>
      <c r="H1399" s="33">
        <f t="shared" si="120"/>
        <v>0</v>
      </c>
      <c r="I1399" s="15"/>
      <c r="J1399" s="1"/>
      <c r="K1399" s="1">
        <f>0.33*E1399</f>
        <v>0.66</v>
      </c>
    </row>
    <row r="1400" spans="1:11" x14ac:dyDescent="0.25">
      <c r="A1400" s="29" t="s">
        <v>776</v>
      </c>
      <c r="B1400" s="205" t="s">
        <v>13</v>
      </c>
      <c r="C1400" s="11" t="s">
        <v>506</v>
      </c>
      <c r="D1400" s="20" t="s">
        <v>14</v>
      </c>
      <c r="E1400" s="20">
        <v>4</v>
      </c>
      <c r="F1400" s="33">
        <v>0</v>
      </c>
      <c r="G1400" s="15"/>
      <c r="H1400" s="33">
        <f t="shared" si="120"/>
        <v>0</v>
      </c>
      <c r="I1400" s="15"/>
      <c r="J1400" s="1"/>
      <c r="K1400" s="1">
        <f>E1400*0.53</f>
        <v>2.12</v>
      </c>
    </row>
    <row r="1401" spans="1:11" x14ac:dyDescent="0.25">
      <c r="A1401" s="29" t="s">
        <v>777</v>
      </c>
      <c r="B1401" s="205" t="s">
        <v>13</v>
      </c>
      <c r="C1401" s="11" t="s">
        <v>174</v>
      </c>
      <c r="D1401" s="20" t="s">
        <v>14</v>
      </c>
      <c r="E1401" s="20">
        <v>1</v>
      </c>
      <c r="F1401" s="33">
        <v>0</v>
      </c>
      <c r="G1401" s="15"/>
      <c r="H1401" s="33">
        <f t="shared" si="120"/>
        <v>0</v>
      </c>
      <c r="I1401" s="15"/>
      <c r="J1401" s="1"/>
      <c r="K1401" s="1">
        <f>0.46*E1401</f>
        <v>0.46</v>
      </c>
    </row>
    <row r="1402" spans="1:11" x14ac:dyDescent="0.25">
      <c r="A1402" s="29" t="s">
        <v>778</v>
      </c>
      <c r="B1402" s="205" t="s">
        <v>13</v>
      </c>
      <c r="C1402" s="11" t="s">
        <v>196</v>
      </c>
      <c r="D1402" s="20" t="s">
        <v>14</v>
      </c>
      <c r="E1402" s="20">
        <v>2</v>
      </c>
      <c r="F1402" s="33">
        <v>0</v>
      </c>
      <c r="G1402" s="15"/>
      <c r="H1402" s="33">
        <f t="shared" si="120"/>
        <v>0</v>
      </c>
      <c r="I1402" s="15"/>
      <c r="J1402" s="1"/>
      <c r="K1402" s="1">
        <f>0.13*E1402</f>
        <v>0.26</v>
      </c>
    </row>
    <row r="1403" spans="1:11" x14ac:dyDescent="0.25">
      <c r="A1403" s="29" t="s">
        <v>855</v>
      </c>
      <c r="B1403" s="205" t="s">
        <v>13</v>
      </c>
      <c r="C1403" s="11" t="s">
        <v>507</v>
      </c>
      <c r="D1403" s="20" t="s">
        <v>14</v>
      </c>
      <c r="E1403" s="20">
        <v>4</v>
      </c>
      <c r="F1403" s="33">
        <v>0</v>
      </c>
      <c r="G1403" s="15"/>
      <c r="H1403" s="33">
        <f t="shared" si="120"/>
        <v>0</v>
      </c>
      <c r="I1403" s="15"/>
      <c r="J1403" s="1"/>
      <c r="K1403" s="1">
        <f>E1403*0.2</f>
        <v>0.8</v>
      </c>
    </row>
    <row r="1404" spans="1:11" x14ac:dyDescent="0.25">
      <c r="A1404" s="29" t="s">
        <v>856</v>
      </c>
      <c r="B1404" s="205" t="s">
        <v>13</v>
      </c>
      <c r="C1404" s="11" t="s">
        <v>175</v>
      </c>
      <c r="D1404" s="20" t="s">
        <v>14</v>
      </c>
      <c r="E1404" s="20">
        <v>3</v>
      </c>
      <c r="F1404" s="33">
        <v>0</v>
      </c>
      <c r="G1404" s="15"/>
      <c r="H1404" s="33">
        <f t="shared" si="120"/>
        <v>0</v>
      </c>
      <c r="I1404" s="15"/>
      <c r="J1404" s="1"/>
      <c r="K1404" s="1">
        <f>E1404*0.17</f>
        <v>0.51</v>
      </c>
    </row>
    <row r="1405" spans="1:11" x14ac:dyDescent="0.25">
      <c r="A1405" s="29" t="s">
        <v>857</v>
      </c>
      <c r="B1405" s="205" t="s">
        <v>13</v>
      </c>
      <c r="C1405" s="11" t="s">
        <v>744</v>
      </c>
      <c r="D1405" s="20" t="s">
        <v>14</v>
      </c>
      <c r="E1405" s="20">
        <v>2</v>
      </c>
      <c r="F1405" s="33">
        <v>0</v>
      </c>
      <c r="G1405" s="15"/>
      <c r="H1405" s="33">
        <f t="shared" si="120"/>
        <v>0</v>
      </c>
      <c r="I1405" s="15"/>
      <c r="J1405" s="1"/>
      <c r="K1405" s="1">
        <f>0.35*E1405</f>
        <v>0.7</v>
      </c>
    </row>
    <row r="1406" spans="1:11" x14ac:dyDescent="0.25">
      <c r="A1406" s="29" t="s">
        <v>858</v>
      </c>
      <c r="B1406" s="205" t="s">
        <v>13</v>
      </c>
      <c r="C1406" s="11" t="s">
        <v>745</v>
      </c>
      <c r="D1406" s="20" t="s">
        <v>14</v>
      </c>
      <c r="E1406" s="20">
        <v>2</v>
      </c>
      <c r="F1406" s="33">
        <v>0</v>
      </c>
      <c r="G1406" s="15"/>
      <c r="H1406" s="33">
        <f t="shared" si="120"/>
        <v>0</v>
      </c>
      <c r="I1406" s="15"/>
      <c r="J1406" s="1"/>
      <c r="K1406" s="1">
        <f>0.54*E1406</f>
        <v>1.08</v>
      </c>
    </row>
    <row r="1407" spans="1:11" x14ac:dyDescent="0.25">
      <c r="A1407" s="29" t="s">
        <v>859</v>
      </c>
      <c r="B1407" s="205" t="s">
        <v>13</v>
      </c>
      <c r="C1407" s="11" t="s">
        <v>177</v>
      </c>
      <c r="D1407" s="20" t="s">
        <v>14</v>
      </c>
      <c r="E1407" s="20">
        <v>3</v>
      </c>
      <c r="F1407" s="33">
        <v>0</v>
      </c>
      <c r="G1407" s="15"/>
      <c r="H1407" s="33">
        <f t="shared" si="120"/>
        <v>0</v>
      </c>
      <c r="I1407" s="15"/>
      <c r="J1407" s="1"/>
      <c r="K1407" s="1">
        <f>E1407*0.64</f>
        <v>1.92</v>
      </c>
    </row>
    <row r="1408" spans="1:11" x14ac:dyDescent="0.25">
      <c r="A1408" s="29" t="s">
        <v>860</v>
      </c>
      <c r="B1408" s="205" t="s">
        <v>13</v>
      </c>
      <c r="C1408" s="11" t="s">
        <v>178</v>
      </c>
      <c r="D1408" s="20" t="s">
        <v>14</v>
      </c>
      <c r="E1408" s="20">
        <v>5</v>
      </c>
      <c r="F1408" s="33">
        <v>0</v>
      </c>
      <c r="G1408" s="15"/>
      <c r="H1408" s="33">
        <f t="shared" si="120"/>
        <v>0</v>
      </c>
      <c r="I1408" s="15"/>
      <c r="J1408" s="1"/>
      <c r="K1408" s="1">
        <f>E1408*0.74</f>
        <v>3.7</v>
      </c>
    </row>
    <row r="1409" spans="1:11" x14ac:dyDescent="0.25">
      <c r="A1409" s="29" t="s">
        <v>861</v>
      </c>
      <c r="B1409" s="205" t="s">
        <v>13</v>
      </c>
      <c r="C1409" s="188" t="s">
        <v>308</v>
      </c>
      <c r="D1409" s="20" t="s">
        <v>14</v>
      </c>
      <c r="E1409" s="20">
        <v>1</v>
      </c>
      <c r="F1409" s="33">
        <v>0</v>
      </c>
      <c r="G1409" s="15"/>
      <c r="H1409" s="33">
        <f t="shared" si="120"/>
        <v>0</v>
      </c>
      <c r="I1409" s="15"/>
      <c r="J1409" s="1"/>
      <c r="K1409" s="1">
        <f>0.79*E1409</f>
        <v>0.79</v>
      </c>
    </row>
    <row r="1410" spans="1:11" x14ac:dyDescent="0.25">
      <c r="A1410" s="29" t="s">
        <v>862</v>
      </c>
      <c r="B1410" s="205" t="s">
        <v>13</v>
      </c>
      <c r="C1410" s="188" t="s">
        <v>179</v>
      </c>
      <c r="D1410" s="20" t="s">
        <v>14</v>
      </c>
      <c r="E1410" s="20">
        <v>1</v>
      </c>
      <c r="F1410" s="33">
        <v>0</v>
      </c>
      <c r="G1410" s="15"/>
      <c r="H1410" s="33">
        <f t="shared" si="120"/>
        <v>0</v>
      </c>
      <c r="I1410" s="15"/>
      <c r="J1410" s="1"/>
      <c r="K1410" s="1">
        <f>1.03*E1410</f>
        <v>1.03</v>
      </c>
    </row>
    <row r="1411" spans="1:11" ht="42.75" x14ac:dyDescent="0.25">
      <c r="A1411" s="315" t="s">
        <v>99</v>
      </c>
      <c r="B1411" s="316" t="s">
        <v>9</v>
      </c>
      <c r="C1411" s="74" t="s">
        <v>180</v>
      </c>
      <c r="D1411" s="75" t="s">
        <v>54</v>
      </c>
      <c r="E1411" s="75">
        <v>10.5</v>
      </c>
      <c r="F1411" s="317"/>
      <c r="G1411" s="318">
        <v>0</v>
      </c>
      <c r="H1411" s="317"/>
      <c r="I1411" s="318">
        <f>E1411*G1411</f>
        <v>0</v>
      </c>
      <c r="J1411" s="1"/>
      <c r="K1411" s="364">
        <f>K1413+K1414+K1415+K1416</f>
        <v>10.5</v>
      </c>
    </row>
    <row r="1412" spans="1:11" x14ac:dyDescent="0.25">
      <c r="A1412" s="29" t="s">
        <v>100</v>
      </c>
      <c r="B1412" s="240" t="s">
        <v>13</v>
      </c>
      <c r="C1412" s="11" t="s">
        <v>55</v>
      </c>
      <c r="D1412" s="20" t="s">
        <v>38</v>
      </c>
      <c r="E1412" s="76">
        <f>2.25*E1411</f>
        <v>23.63</v>
      </c>
      <c r="F1412" s="33">
        <v>0</v>
      </c>
      <c r="G1412" s="15"/>
      <c r="H1412" s="33">
        <f>F1412*E1412</f>
        <v>0</v>
      </c>
      <c r="I1412" s="15"/>
      <c r="J1412" s="1"/>
      <c r="K1412" s="1"/>
    </row>
    <row r="1413" spans="1:11" x14ac:dyDescent="0.25">
      <c r="A1413" s="29" t="s">
        <v>101</v>
      </c>
      <c r="B1413" s="205" t="s">
        <v>13</v>
      </c>
      <c r="C1413" s="11" t="s">
        <v>198</v>
      </c>
      <c r="D1413" s="20" t="s">
        <v>58</v>
      </c>
      <c r="E1413" s="20">
        <v>1.4</v>
      </c>
      <c r="F1413" s="33">
        <v>0</v>
      </c>
      <c r="G1413" s="15"/>
      <c r="H1413" s="33">
        <f t="shared" ref="H1413:H1416" si="121">F1413*E1413</f>
        <v>0</v>
      </c>
      <c r="I1413" s="15"/>
      <c r="J1413" s="1"/>
      <c r="K1413" s="319">
        <f>1.8*E1413</f>
        <v>2.52</v>
      </c>
    </row>
    <row r="1414" spans="1:11" x14ac:dyDescent="0.25">
      <c r="A1414" s="29" t="s">
        <v>102</v>
      </c>
      <c r="B1414" s="205" t="s">
        <v>13</v>
      </c>
      <c r="C1414" s="11" t="s">
        <v>181</v>
      </c>
      <c r="D1414" s="20" t="s">
        <v>58</v>
      </c>
      <c r="E1414" s="291">
        <v>2.8</v>
      </c>
      <c r="F1414" s="33">
        <v>0</v>
      </c>
      <c r="G1414" s="15"/>
      <c r="H1414" s="33">
        <f t="shared" si="121"/>
        <v>0</v>
      </c>
      <c r="I1414" s="15"/>
      <c r="J1414" s="1"/>
      <c r="K1414" s="320">
        <f>2.2*E1414</f>
        <v>6.2</v>
      </c>
    </row>
    <row r="1415" spans="1:11" x14ac:dyDescent="0.25">
      <c r="A1415" s="29" t="s">
        <v>103</v>
      </c>
      <c r="B1415" s="205" t="s">
        <v>13</v>
      </c>
      <c r="C1415" s="11" t="s">
        <v>484</v>
      </c>
      <c r="D1415" s="20" t="s">
        <v>14</v>
      </c>
      <c r="E1415" s="20">
        <v>1</v>
      </c>
      <c r="F1415" s="33">
        <v>0</v>
      </c>
      <c r="G1415" s="15"/>
      <c r="H1415" s="33">
        <f t="shared" si="121"/>
        <v>0</v>
      </c>
      <c r="I1415" s="15"/>
      <c r="J1415" s="1"/>
      <c r="K1415" s="1">
        <f>E1415*0.71</f>
        <v>0.71</v>
      </c>
    </row>
    <row r="1416" spans="1:11" x14ac:dyDescent="0.25">
      <c r="A1416" s="29" t="s">
        <v>104</v>
      </c>
      <c r="B1416" s="205" t="s">
        <v>13</v>
      </c>
      <c r="C1416" s="11" t="s">
        <v>486</v>
      </c>
      <c r="D1416" s="20" t="s">
        <v>14</v>
      </c>
      <c r="E1416" s="20">
        <v>1</v>
      </c>
      <c r="F1416" s="33">
        <v>0</v>
      </c>
      <c r="G1416" s="15"/>
      <c r="H1416" s="33">
        <f t="shared" si="121"/>
        <v>0</v>
      </c>
      <c r="I1416" s="15"/>
      <c r="J1416" s="1"/>
      <c r="K1416" s="1">
        <f>E1416*1.11</f>
        <v>1.1100000000000001</v>
      </c>
    </row>
    <row r="1417" spans="1:11" ht="42.75" x14ac:dyDescent="0.25">
      <c r="A1417" s="315" t="s">
        <v>105</v>
      </c>
      <c r="B1417" s="316" t="s">
        <v>9</v>
      </c>
      <c r="C1417" s="295" t="s">
        <v>285</v>
      </c>
      <c r="D1417" s="75" t="s">
        <v>54</v>
      </c>
      <c r="E1417" s="75">
        <v>25.38</v>
      </c>
      <c r="F1417" s="297"/>
      <c r="G1417" s="318">
        <v>0</v>
      </c>
      <c r="H1417" s="297"/>
      <c r="I1417" s="318">
        <f>E1417*G1417</f>
        <v>0</v>
      </c>
      <c r="J1417" s="1"/>
      <c r="K1417" s="1">
        <f>K1419+K1420+K1421+K1422+K1423+K1424+K1425+K1426</f>
        <v>25.38</v>
      </c>
    </row>
    <row r="1418" spans="1:11" x14ac:dyDescent="0.25">
      <c r="A1418" s="321" t="s">
        <v>149</v>
      </c>
      <c r="B1418" s="205" t="s">
        <v>13</v>
      </c>
      <c r="C1418" s="70" t="s">
        <v>55</v>
      </c>
      <c r="D1418" s="71" t="s">
        <v>38</v>
      </c>
      <c r="E1418" s="72">
        <f>2.25*E1417</f>
        <v>57.11</v>
      </c>
      <c r="F1418" s="297">
        <v>0</v>
      </c>
      <c r="G1418" s="298"/>
      <c r="H1418" s="297">
        <f t="shared" ref="H1418:H1426" si="122">E1418*F1418</f>
        <v>0</v>
      </c>
      <c r="I1418" s="298"/>
      <c r="J1418" s="1"/>
      <c r="K1418" s="1"/>
    </row>
    <row r="1419" spans="1:11" ht="30" x14ac:dyDescent="0.25">
      <c r="A1419" s="321" t="s">
        <v>139</v>
      </c>
      <c r="B1419" s="205" t="s">
        <v>13</v>
      </c>
      <c r="C1419" s="70" t="s">
        <v>590</v>
      </c>
      <c r="D1419" s="71" t="s">
        <v>58</v>
      </c>
      <c r="E1419" s="72">
        <v>3</v>
      </c>
      <c r="F1419" s="297">
        <v>0</v>
      </c>
      <c r="G1419" s="298"/>
      <c r="H1419" s="297">
        <f t="shared" si="122"/>
        <v>0</v>
      </c>
      <c r="I1419" s="298"/>
      <c r="J1419" s="1"/>
      <c r="K1419" s="1">
        <f>2.6*E1419</f>
        <v>7.8</v>
      </c>
    </row>
    <row r="1420" spans="1:11" ht="30" x14ac:dyDescent="0.25">
      <c r="A1420" s="321" t="s">
        <v>140</v>
      </c>
      <c r="B1420" s="205" t="s">
        <v>13</v>
      </c>
      <c r="C1420" s="70" t="s">
        <v>185</v>
      </c>
      <c r="D1420" s="71" t="s">
        <v>58</v>
      </c>
      <c r="E1420" s="71">
        <v>2.4</v>
      </c>
      <c r="F1420" s="297">
        <v>0</v>
      </c>
      <c r="G1420" s="298"/>
      <c r="H1420" s="297">
        <f t="shared" si="122"/>
        <v>0</v>
      </c>
      <c r="I1420" s="298"/>
      <c r="J1420" s="1"/>
      <c r="K1420" s="1">
        <f>2.8*E1420</f>
        <v>6.72</v>
      </c>
    </row>
    <row r="1421" spans="1:11" ht="30" x14ac:dyDescent="0.25">
      <c r="A1421" s="321" t="s">
        <v>141</v>
      </c>
      <c r="B1421" s="205" t="s">
        <v>13</v>
      </c>
      <c r="C1421" s="70" t="s">
        <v>487</v>
      </c>
      <c r="D1421" s="71" t="s">
        <v>58</v>
      </c>
      <c r="E1421" s="71">
        <v>2</v>
      </c>
      <c r="F1421" s="297">
        <v>0</v>
      </c>
      <c r="G1421" s="298"/>
      <c r="H1421" s="297">
        <f t="shared" si="122"/>
        <v>0</v>
      </c>
      <c r="I1421" s="298"/>
      <c r="J1421" s="1"/>
      <c r="K1421" s="1">
        <f>3.2*E1421</f>
        <v>6.4</v>
      </c>
    </row>
    <row r="1422" spans="1:11" x14ac:dyDescent="0.25">
      <c r="A1422" s="321" t="s">
        <v>453</v>
      </c>
      <c r="B1422" s="205" t="s">
        <v>13</v>
      </c>
      <c r="C1422" s="70" t="s">
        <v>607</v>
      </c>
      <c r="D1422" s="71" t="s">
        <v>14</v>
      </c>
      <c r="E1422" s="71">
        <v>1</v>
      </c>
      <c r="F1422" s="297">
        <v>0</v>
      </c>
      <c r="G1422" s="298"/>
      <c r="H1422" s="297">
        <f t="shared" si="122"/>
        <v>0</v>
      </c>
      <c r="I1422" s="298"/>
      <c r="J1422" s="1"/>
      <c r="K1422" s="1">
        <f>0.78*E1422</f>
        <v>0.78</v>
      </c>
    </row>
    <row r="1423" spans="1:11" x14ac:dyDescent="0.25">
      <c r="A1423" s="321" t="s">
        <v>831</v>
      </c>
      <c r="B1423" s="205" t="s">
        <v>13</v>
      </c>
      <c r="C1423" s="70" t="s">
        <v>746</v>
      </c>
      <c r="D1423" s="71" t="s">
        <v>14</v>
      </c>
      <c r="E1423" s="71">
        <v>1</v>
      </c>
      <c r="F1423" s="297">
        <v>0</v>
      </c>
      <c r="G1423" s="298"/>
      <c r="H1423" s="297">
        <f t="shared" si="122"/>
        <v>0</v>
      </c>
      <c r="I1423" s="298"/>
      <c r="J1423" s="1"/>
      <c r="K1423" s="1">
        <f>1.6*E1423</f>
        <v>1.6</v>
      </c>
    </row>
    <row r="1424" spans="1:11" x14ac:dyDescent="0.25">
      <c r="A1424" s="321" t="s">
        <v>863</v>
      </c>
      <c r="B1424" s="205" t="s">
        <v>13</v>
      </c>
      <c r="C1424" s="70" t="s">
        <v>747</v>
      </c>
      <c r="D1424" s="71" t="s">
        <v>14</v>
      </c>
      <c r="E1424" s="71">
        <v>1</v>
      </c>
      <c r="F1424" s="297">
        <v>0</v>
      </c>
      <c r="G1424" s="298"/>
      <c r="H1424" s="297">
        <f t="shared" si="122"/>
        <v>0</v>
      </c>
      <c r="I1424" s="298"/>
      <c r="J1424" s="1"/>
      <c r="K1424" s="1">
        <f>E1424*0.28</f>
        <v>0.28000000000000003</v>
      </c>
    </row>
    <row r="1425" spans="1:11" x14ac:dyDescent="0.25">
      <c r="A1425" s="321" t="s">
        <v>864</v>
      </c>
      <c r="B1425" s="205" t="s">
        <v>13</v>
      </c>
      <c r="C1425" s="70" t="s">
        <v>517</v>
      </c>
      <c r="D1425" s="71" t="s">
        <v>14</v>
      </c>
      <c r="E1425" s="71">
        <v>1</v>
      </c>
      <c r="F1425" s="297">
        <v>0</v>
      </c>
      <c r="G1425" s="298"/>
      <c r="H1425" s="297">
        <f t="shared" si="122"/>
        <v>0</v>
      </c>
      <c r="I1425" s="298"/>
      <c r="J1425" s="1"/>
      <c r="K1425" s="1">
        <f>1*0.43</f>
        <v>0.43</v>
      </c>
    </row>
    <row r="1426" spans="1:11" x14ac:dyDescent="0.25">
      <c r="A1426" s="321" t="s">
        <v>865</v>
      </c>
      <c r="B1426" s="205" t="s">
        <v>13</v>
      </c>
      <c r="C1426" s="70" t="s">
        <v>490</v>
      </c>
      <c r="D1426" s="71" t="s">
        <v>14</v>
      </c>
      <c r="E1426" s="71">
        <v>1</v>
      </c>
      <c r="F1426" s="297">
        <v>0</v>
      </c>
      <c r="G1426" s="298"/>
      <c r="H1426" s="297">
        <f t="shared" si="122"/>
        <v>0</v>
      </c>
      <c r="I1426" s="298"/>
      <c r="J1426" s="1"/>
      <c r="K1426" s="1">
        <f>1.37*E1426</f>
        <v>1.37</v>
      </c>
    </row>
    <row r="1427" spans="1:11" ht="42.75" x14ac:dyDescent="0.25">
      <c r="A1427" s="315" t="s">
        <v>108</v>
      </c>
      <c r="B1427" s="239" t="s">
        <v>9</v>
      </c>
      <c r="C1427" s="295" t="s">
        <v>518</v>
      </c>
      <c r="D1427" s="75" t="s">
        <v>54</v>
      </c>
      <c r="E1427" s="75">
        <v>16.75</v>
      </c>
      <c r="F1427" s="317"/>
      <c r="G1427" s="318">
        <v>0</v>
      </c>
      <c r="H1427" s="317"/>
      <c r="I1427" s="318">
        <f>E1427*G1427</f>
        <v>0</v>
      </c>
      <c r="J1427" s="1"/>
      <c r="K1427" s="1">
        <f>K1429+K1430+K1431+K1432+K1433</f>
        <v>16.75</v>
      </c>
    </row>
    <row r="1428" spans="1:11" x14ac:dyDescent="0.25">
      <c r="A1428" s="29" t="s">
        <v>106</v>
      </c>
      <c r="B1428" s="205" t="s">
        <v>13</v>
      </c>
      <c r="C1428" s="11" t="s">
        <v>55</v>
      </c>
      <c r="D1428" s="20" t="s">
        <v>38</v>
      </c>
      <c r="E1428" s="76">
        <f>2.25*E1427</f>
        <v>37.69</v>
      </c>
      <c r="F1428" s="33">
        <v>0</v>
      </c>
      <c r="G1428" s="15"/>
      <c r="H1428" s="33">
        <f t="shared" ref="H1428" si="123">E1428*F1428</f>
        <v>0</v>
      </c>
      <c r="I1428" s="15"/>
      <c r="J1428" s="1"/>
      <c r="K1428" s="1"/>
    </row>
    <row r="1429" spans="1:11" ht="30" x14ac:dyDescent="0.25">
      <c r="A1429" s="29" t="s">
        <v>107</v>
      </c>
      <c r="B1429" s="205" t="s">
        <v>13</v>
      </c>
      <c r="C1429" s="11" t="s">
        <v>492</v>
      </c>
      <c r="D1429" s="20" t="s">
        <v>58</v>
      </c>
      <c r="E1429" s="76">
        <v>0.6</v>
      </c>
      <c r="F1429" s="33">
        <v>0</v>
      </c>
      <c r="G1429" s="15"/>
      <c r="H1429" s="33">
        <f>E1429*F1429</f>
        <v>0</v>
      </c>
      <c r="I1429" s="15"/>
      <c r="J1429" s="1"/>
      <c r="K1429" s="1">
        <f>4*E1429</f>
        <v>2.4</v>
      </c>
    </row>
    <row r="1430" spans="1:11" ht="30" x14ac:dyDescent="0.25">
      <c r="A1430" s="29" t="s">
        <v>785</v>
      </c>
      <c r="B1430" s="205" t="s">
        <v>13</v>
      </c>
      <c r="C1430" s="11" t="s">
        <v>493</v>
      </c>
      <c r="D1430" s="20" t="s">
        <v>58</v>
      </c>
      <c r="E1430" s="76">
        <v>1.9</v>
      </c>
      <c r="F1430" s="33">
        <f>0</f>
        <v>0</v>
      </c>
      <c r="G1430" s="15"/>
      <c r="H1430" s="33">
        <f>E1430*F1430</f>
        <v>0</v>
      </c>
      <c r="I1430" s="15"/>
      <c r="J1430" s="1"/>
      <c r="K1430" s="1">
        <f>4*E1430</f>
        <v>7.6</v>
      </c>
    </row>
    <row r="1431" spans="1:11" x14ac:dyDescent="0.25">
      <c r="A1431" s="29" t="s">
        <v>786</v>
      </c>
      <c r="B1431" s="205" t="s">
        <v>13</v>
      </c>
      <c r="C1431" s="11" t="s">
        <v>519</v>
      </c>
      <c r="D1431" s="20" t="s">
        <v>14</v>
      </c>
      <c r="E1431" s="20">
        <v>1</v>
      </c>
      <c r="F1431" s="33">
        <v>0</v>
      </c>
      <c r="G1431" s="15"/>
      <c r="H1431" s="33">
        <f t="shared" ref="H1431:H1433" si="124">E1431*F1431</f>
        <v>0</v>
      </c>
      <c r="I1431" s="15"/>
      <c r="J1431" s="1"/>
      <c r="K1431" s="1">
        <f>E1431*1.2</f>
        <v>1.2</v>
      </c>
    </row>
    <row r="1432" spans="1:11" ht="30" x14ac:dyDescent="0.25">
      <c r="A1432" s="29" t="s">
        <v>787</v>
      </c>
      <c r="B1432" s="205" t="s">
        <v>13</v>
      </c>
      <c r="C1432" s="11" t="s">
        <v>495</v>
      </c>
      <c r="D1432" s="20" t="s">
        <v>14</v>
      </c>
      <c r="E1432" s="20">
        <v>1</v>
      </c>
      <c r="F1432" s="33">
        <v>0</v>
      </c>
      <c r="G1432" s="15"/>
      <c r="H1432" s="33">
        <f t="shared" si="124"/>
        <v>0</v>
      </c>
      <c r="I1432" s="15"/>
      <c r="J1432" s="1"/>
      <c r="K1432" s="1">
        <f>E1432*4.33</f>
        <v>4.33</v>
      </c>
    </row>
    <row r="1433" spans="1:11" ht="30" x14ac:dyDescent="0.25">
      <c r="A1433" s="29" t="s">
        <v>788</v>
      </c>
      <c r="B1433" s="205" t="s">
        <v>13</v>
      </c>
      <c r="C1433" s="11" t="s">
        <v>520</v>
      </c>
      <c r="D1433" s="20" t="s">
        <v>14</v>
      </c>
      <c r="E1433" s="20">
        <v>1</v>
      </c>
      <c r="F1433" s="33">
        <v>0</v>
      </c>
      <c r="G1433" s="15"/>
      <c r="H1433" s="33">
        <f t="shared" si="124"/>
        <v>0</v>
      </c>
      <c r="I1433" s="15"/>
      <c r="J1433" s="1"/>
      <c r="K1433" s="1">
        <f>E1433*1.22</f>
        <v>1.22</v>
      </c>
    </row>
    <row r="1434" spans="1:11" ht="28.5" x14ac:dyDescent="0.25">
      <c r="A1434" s="315" t="s">
        <v>109</v>
      </c>
      <c r="B1434" s="316" t="s">
        <v>189</v>
      </c>
      <c r="C1434" s="295" t="s">
        <v>48</v>
      </c>
      <c r="D1434" s="75" t="s">
        <v>14</v>
      </c>
      <c r="E1434" s="75">
        <v>11</v>
      </c>
      <c r="F1434" s="317"/>
      <c r="G1434" s="318">
        <v>0</v>
      </c>
      <c r="H1434" s="317"/>
      <c r="I1434" s="318">
        <f>E1434*G1434</f>
        <v>0</v>
      </c>
      <c r="J1434" s="1"/>
      <c r="K1434" s="1"/>
    </row>
    <row r="1435" spans="1:11" ht="30" x14ac:dyDescent="0.25">
      <c r="A1435" s="321" t="s">
        <v>110</v>
      </c>
      <c r="B1435" s="205" t="s">
        <v>13</v>
      </c>
      <c r="C1435" s="70" t="s">
        <v>186</v>
      </c>
      <c r="D1435" s="71" t="s">
        <v>14</v>
      </c>
      <c r="E1435" s="322">
        <v>2</v>
      </c>
      <c r="F1435" s="297">
        <v>0</v>
      </c>
      <c r="G1435" s="298"/>
      <c r="H1435" s="297">
        <f>E1435*F1435</f>
        <v>0</v>
      </c>
      <c r="I1435" s="298"/>
      <c r="J1435" s="1"/>
      <c r="K1435" s="1"/>
    </row>
    <row r="1436" spans="1:11" ht="30" x14ac:dyDescent="0.25">
      <c r="A1436" s="323" t="s">
        <v>111</v>
      </c>
      <c r="B1436" s="205" t="s">
        <v>13</v>
      </c>
      <c r="C1436" s="122" t="s">
        <v>748</v>
      </c>
      <c r="D1436" s="324" t="s">
        <v>14</v>
      </c>
      <c r="E1436" s="325">
        <v>2</v>
      </c>
      <c r="F1436" s="326">
        <v>0</v>
      </c>
      <c r="G1436" s="327"/>
      <c r="H1436" s="326">
        <f>E1436*F1436</f>
        <v>0</v>
      </c>
      <c r="I1436" s="327"/>
      <c r="J1436" s="1"/>
      <c r="K1436" s="1"/>
    </row>
    <row r="1437" spans="1:11" ht="30" x14ac:dyDescent="0.25">
      <c r="A1437" s="321" t="s">
        <v>789</v>
      </c>
      <c r="B1437" s="205" t="s">
        <v>13</v>
      </c>
      <c r="C1437" s="122" t="s">
        <v>187</v>
      </c>
      <c r="D1437" s="324" t="s">
        <v>14</v>
      </c>
      <c r="E1437" s="325">
        <v>3</v>
      </c>
      <c r="F1437" s="326">
        <v>0</v>
      </c>
      <c r="G1437" s="327"/>
      <c r="H1437" s="326">
        <f>E1437*F1437</f>
        <v>0</v>
      </c>
      <c r="I1437" s="327"/>
      <c r="J1437" s="1"/>
      <c r="K1437" s="1"/>
    </row>
    <row r="1438" spans="1:11" ht="30" x14ac:dyDescent="0.25">
      <c r="A1438" s="323" t="s">
        <v>866</v>
      </c>
      <c r="B1438" s="240" t="s">
        <v>13</v>
      </c>
      <c r="C1438" s="122" t="s">
        <v>188</v>
      </c>
      <c r="D1438" s="324" t="s">
        <v>14</v>
      </c>
      <c r="E1438" s="324">
        <v>4</v>
      </c>
      <c r="F1438" s="326">
        <v>0</v>
      </c>
      <c r="G1438" s="327"/>
      <c r="H1438" s="326">
        <f t="shared" ref="H1438" si="125">E1438*F1438</f>
        <v>0</v>
      </c>
      <c r="I1438" s="327"/>
      <c r="J1438" s="1"/>
      <c r="K1438" s="1"/>
    </row>
    <row r="1439" spans="1:11" ht="28.5" x14ac:dyDescent="0.25">
      <c r="A1439" s="26" t="s">
        <v>112</v>
      </c>
      <c r="B1439" s="239" t="s">
        <v>9</v>
      </c>
      <c r="C1439" s="17" t="s">
        <v>137</v>
      </c>
      <c r="D1439" s="19" t="s">
        <v>14</v>
      </c>
      <c r="E1439" s="19">
        <v>160</v>
      </c>
      <c r="F1439" s="28"/>
      <c r="G1439" s="58">
        <v>0</v>
      </c>
      <c r="H1439" s="28"/>
      <c r="I1439" s="58">
        <f>E1439*G1439</f>
        <v>0</v>
      </c>
      <c r="J1439" s="1"/>
      <c r="K1439" s="1"/>
    </row>
    <row r="1440" spans="1:11" x14ac:dyDescent="0.25">
      <c r="A1440" s="29" t="s">
        <v>113</v>
      </c>
      <c r="B1440" s="205" t="s">
        <v>13</v>
      </c>
      <c r="C1440" s="11" t="s">
        <v>191</v>
      </c>
      <c r="D1440" s="20" t="s">
        <v>14</v>
      </c>
      <c r="E1440" s="20">
        <v>160</v>
      </c>
      <c r="F1440" s="33">
        <v>0</v>
      </c>
      <c r="G1440" s="58"/>
      <c r="H1440" s="186">
        <f t="shared" ref="H1440" si="126">E1440*F1440</f>
        <v>0</v>
      </c>
      <c r="I1440" s="58"/>
      <c r="J1440" s="1"/>
      <c r="K1440" s="1"/>
    </row>
    <row r="1441" spans="1:11" ht="28.5" x14ac:dyDescent="0.25">
      <c r="A1441" s="26" t="s">
        <v>115</v>
      </c>
      <c r="B1441" s="239" t="s">
        <v>9</v>
      </c>
      <c r="C1441" s="17" t="s">
        <v>502</v>
      </c>
      <c r="D1441" s="19" t="s">
        <v>14</v>
      </c>
      <c r="E1441" s="19">
        <v>112</v>
      </c>
      <c r="F1441" s="28"/>
      <c r="G1441" s="58">
        <v>0</v>
      </c>
      <c r="H1441" s="28"/>
      <c r="I1441" s="58">
        <f>E1441*G1441</f>
        <v>0</v>
      </c>
      <c r="J1441" s="1"/>
      <c r="K1441" s="1"/>
    </row>
    <row r="1442" spans="1:11" x14ac:dyDescent="0.25">
      <c r="A1442" s="129" t="s">
        <v>117</v>
      </c>
      <c r="B1442" s="205" t="s">
        <v>13</v>
      </c>
      <c r="C1442" s="11" t="s">
        <v>190</v>
      </c>
      <c r="D1442" s="20" t="s">
        <v>14</v>
      </c>
      <c r="E1442" s="20">
        <v>112</v>
      </c>
      <c r="F1442" s="33">
        <v>0</v>
      </c>
      <c r="G1442" s="15"/>
      <c r="H1442" s="186">
        <f t="shared" ref="H1442" si="127">E1442*F1442</f>
        <v>0</v>
      </c>
      <c r="I1442" s="15"/>
      <c r="J1442" s="1"/>
      <c r="K1442" s="1"/>
    </row>
    <row r="1443" spans="1:11" ht="28.5" x14ac:dyDescent="0.25">
      <c r="A1443" s="26" t="s">
        <v>118</v>
      </c>
      <c r="B1443" s="239" t="s">
        <v>9</v>
      </c>
      <c r="C1443" s="17" t="s">
        <v>615</v>
      </c>
      <c r="D1443" s="19" t="s">
        <v>14</v>
      </c>
      <c r="E1443" s="18">
        <v>1</v>
      </c>
      <c r="F1443" s="28"/>
      <c r="G1443" s="58">
        <v>0</v>
      </c>
      <c r="H1443" s="28"/>
      <c r="I1443" s="58">
        <f>E1443*G1443</f>
        <v>0</v>
      </c>
      <c r="J1443" s="1"/>
      <c r="K1443" s="1"/>
    </row>
    <row r="1444" spans="1:11" x14ac:dyDescent="0.25">
      <c r="A1444" s="185" t="s">
        <v>119</v>
      </c>
      <c r="B1444" s="240" t="s">
        <v>13</v>
      </c>
      <c r="C1444" s="55" t="s">
        <v>522</v>
      </c>
      <c r="D1444" s="94" t="s">
        <v>14</v>
      </c>
      <c r="E1444" s="141">
        <v>1</v>
      </c>
      <c r="F1444" s="186">
        <v>0</v>
      </c>
      <c r="G1444" s="127"/>
      <c r="H1444" s="186">
        <f>E1444*F1444</f>
        <v>0</v>
      </c>
      <c r="I1444" s="127"/>
      <c r="J1444" s="1"/>
      <c r="K1444" s="1"/>
    </row>
    <row r="1445" spans="1:11" ht="28.5" x14ac:dyDescent="0.25">
      <c r="A1445" s="300" t="s">
        <v>832</v>
      </c>
      <c r="B1445" s="301" t="s">
        <v>9</v>
      </c>
      <c r="C1445" s="302" t="s">
        <v>803</v>
      </c>
      <c r="D1445" s="303" t="s">
        <v>472</v>
      </c>
      <c r="E1445" s="18">
        <v>5</v>
      </c>
      <c r="F1445" s="304"/>
      <c r="G1445" s="305">
        <v>0</v>
      </c>
      <c r="H1445" s="304"/>
      <c r="I1445" s="305">
        <f>E1445*G1445</f>
        <v>0</v>
      </c>
      <c r="J1445" s="1"/>
      <c r="K1445" s="1"/>
    </row>
    <row r="1446" spans="1:11" ht="28.5" x14ac:dyDescent="0.25">
      <c r="A1446" s="26" t="s">
        <v>122</v>
      </c>
      <c r="B1446" s="239" t="s">
        <v>9</v>
      </c>
      <c r="C1446" s="17" t="s">
        <v>211</v>
      </c>
      <c r="D1446" s="19" t="s">
        <v>54</v>
      </c>
      <c r="E1446" s="386">
        <v>914.9</v>
      </c>
      <c r="F1446" s="28"/>
      <c r="G1446" s="58">
        <v>0</v>
      </c>
      <c r="H1446" s="28"/>
      <c r="I1446" s="58">
        <f>E1446*G1446</f>
        <v>0</v>
      </c>
      <c r="J1446" s="1"/>
      <c r="K1446" s="1"/>
    </row>
    <row r="1447" spans="1:11" x14ac:dyDescent="0.25">
      <c r="A1447" s="130" t="s">
        <v>123</v>
      </c>
      <c r="B1447" s="206" t="s">
        <v>13</v>
      </c>
      <c r="C1447" s="188" t="s">
        <v>209</v>
      </c>
      <c r="D1447" s="90" t="s">
        <v>54</v>
      </c>
      <c r="E1447" s="90">
        <f>1.1*E1446</f>
        <v>1006.39</v>
      </c>
      <c r="F1447" s="62">
        <v>0</v>
      </c>
      <c r="G1447" s="119"/>
      <c r="H1447" s="62">
        <f>E1447*F1447</f>
        <v>0</v>
      </c>
      <c r="I1447" s="119"/>
      <c r="J1447" s="1"/>
      <c r="K1447" s="1"/>
    </row>
    <row r="1448" spans="1:11" x14ac:dyDescent="0.25">
      <c r="A1448" s="130" t="s">
        <v>124</v>
      </c>
      <c r="B1448" s="206" t="s">
        <v>13</v>
      </c>
      <c r="C1448" s="188" t="s">
        <v>210</v>
      </c>
      <c r="D1448" s="90" t="s">
        <v>38</v>
      </c>
      <c r="E1448" s="90">
        <f>0.7*E1446</f>
        <v>640.42999999999995</v>
      </c>
      <c r="F1448" s="62">
        <v>0</v>
      </c>
      <c r="G1448" s="119"/>
      <c r="H1448" s="62">
        <f>E1448*F1448</f>
        <v>0</v>
      </c>
      <c r="I1448" s="119"/>
      <c r="J1448" s="1"/>
      <c r="K1448" s="1"/>
    </row>
    <row r="1449" spans="1:11" x14ac:dyDescent="0.25">
      <c r="A1449" s="173" t="s">
        <v>125</v>
      </c>
      <c r="B1449" s="252" t="s">
        <v>9</v>
      </c>
      <c r="C1449" s="250" t="s">
        <v>202</v>
      </c>
      <c r="D1449" s="88" t="s">
        <v>54</v>
      </c>
      <c r="E1449" s="88">
        <v>7.3</v>
      </c>
      <c r="F1449" s="150"/>
      <c r="G1449" s="65">
        <v>0</v>
      </c>
      <c r="H1449" s="150"/>
      <c r="I1449" s="65">
        <f>E1449*G1449</f>
        <v>0</v>
      </c>
      <c r="J1449" s="1"/>
      <c r="K1449" s="1"/>
    </row>
    <row r="1450" spans="1:11" x14ac:dyDescent="0.25">
      <c r="A1450" s="130" t="s">
        <v>126</v>
      </c>
      <c r="B1450" s="206" t="s">
        <v>13</v>
      </c>
      <c r="C1450" s="188" t="s">
        <v>203</v>
      </c>
      <c r="D1450" s="90" t="s">
        <v>54</v>
      </c>
      <c r="E1450" s="90">
        <v>7.3</v>
      </c>
      <c r="F1450" s="62">
        <v>0</v>
      </c>
      <c r="G1450" s="119"/>
      <c r="H1450" s="62">
        <f>E1450*F1450</f>
        <v>0</v>
      </c>
      <c r="I1450" s="119"/>
      <c r="J1450" s="1"/>
      <c r="K1450" s="1"/>
    </row>
    <row r="1451" spans="1:11" ht="30.75" thickBot="1" x14ac:dyDescent="0.3">
      <c r="A1451" s="129" t="s">
        <v>791</v>
      </c>
      <c r="B1451" s="240" t="s">
        <v>13</v>
      </c>
      <c r="C1451" s="55" t="s">
        <v>204</v>
      </c>
      <c r="D1451" s="94" t="s">
        <v>54</v>
      </c>
      <c r="E1451" s="94">
        <v>7.3</v>
      </c>
      <c r="F1451" s="186">
        <v>0</v>
      </c>
      <c r="G1451" s="127"/>
      <c r="H1451" s="186">
        <f>E1451*F1451</f>
        <v>0</v>
      </c>
      <c r="I1451" s="127"/>
      <c r="J1451" s="1"/>
      <c r="K1451" s="1"/>
    </row>
    <row r="1452" spans="1:11" ht="15.75" thickBot="1" x14ac:dyDescent="0.3">
      <c r="A1452" s="269"/>
      <c r="B1452" s="241"/>
      <c r="C1452" s="270" t="s">
        <v>417</v>
      </c>
      <c r="D1452" s="3"/>
      <c r="E1452" s="271"/>
      <c r="F1452" s="99"/>
      <c r="G1452" s="136"/>
      <c r="H1452" s="121">
        <f>SUM(H1373:H1451)</f>
        <v>0</v>
      </c>
      <c r="I1452" s="86">
        <f>SUM(I1372:I1451)</f>
        <v>0</v>
      </c>
      <c r="J1452" s="1"/>
      <c r="K1452" s="1"/>
    </row>
    <row r="1453" spans="1:11" ht="15.75" thickBot="1" x14ac:dyDescent="0.3">
      <c r="A1453" s="253"/>
      <c r="B1453" s="207"/>
      <c r="C1453" s="254" t="s">
        <v>749</v>
      </c>
      <c r="D1453" s="48"/>
      <c r="E1453" s="255"/>
      <c r="F1453" s="256"/>
      <c r="G1453" s="109"/>
      <c r="H1453" s="144"/>
      <c r="I1453" s="52"/>
      <c r="J1453" s="1"/>
      <c r="K1453" s="1"/>
    </row>
    <row r="1454" spans="1:11" x14ac:dyDescent="0.25">
      <c r="A1454" s="257" t="s">
        <v>127</v>
      </c>
      <c r="B1454" s="258" t="s">
        <v>9</v>
      </c>
      <c r="C1454" s="149" t="s">
        <v>20</v>
      </c>
      <c r="D1454" s="139" t="s">
        <v>14</v>
      </c>
      <c r="E1454" s="139">
        <v>32</v>
      </c>
      <c r="F1454" s="143"/>
      <c r="G1454" s="146">
        <v>0</v>
      </c>
      <c r="H1454" s="143"/>
      <c r="I1454" s="65">
        <f>E1454*G1454</f>
        <v>0</v>
      </c>
      <c r="J1454" s="1"/>
      <c r="K1454" s="1"/>
    </row>
    <row r="1455" spans="1:11" ht="30" x14ac:dyDescent="0.25">
      <c r="A1455" s="93" t="s">
        <v>128</v>
      </c>
      <c r="B1455" s="247" t="s">
        <v>13</v>
      </c>
      <c r="C1455" s="124" t="s">
        <v>205</v>
      </c>
      <c r="D1455" s="12" t="s">
        <v>14</v>
      </c>
      <c r="E1455" s="12">
        <v>32</v>
      </c>
      <c r="F1455" s="33">
        <v>0</v>
      </c>
      <c r="G1455" s="102"/>
      <c r="H1455" s="113">
        <f>E1455*F1455</f>
        <v>0</v>
      </c>
      <c r="I1455" s="15"/>
      <c r="J1455" s="1"/>
      <c r="K1455" s="1"/>
    </row>
    <row r="1456" spans="1:11" x14ac:dyDescent="0.25">
      <c r="A1456" s="29" t="s">
        <v>792</v>
      </c>
      <c r="B1456" s="247" t="s">
        <v>13</v>
      </c>
      <c r="C1456" s="73" t="s">
        <v>206</v>
      </c>
      <c r="D1456" s="12" t="s">
        <v>14</v>
      </c>
      <c r="E1456" s="12">
        <v>32</v>
      </c>
      <c r="F1456" s="33">
        <v>0</v>
      </c>
      <c r="G1456" s="102"/>
      <c r="H1456" s="113">
        <f>E1456*F1456</f>
        <v>0</v>
      </c>
      <c r="I1456" s="15"/>
      <c r="J1456" s="1"/>
      <c r="K1456" s="1"/>
    </row>
    <row r="1457" spans="1:11" ht="42.75" x14ac:dyDescent="0.25">
      <c r="A1457" s="26" t="s">
        <v>129</v>
      </c>
      <c r="B1457" s="259" t="s">
        <v>9</v>
      </c>
      <c r="C1457" s="74" t="s">
        <v>53</v>
      </c>
      <c r="D1457" s="18" t="s">
        <v>54</v>
      </c>
      <c r="E1457" s="310">
        <v>37.549999999999997</v>
      </c>
      <c r="F1457" s="28"/>
      <c r="G1457" s="117">
        <v>0</v>
      </c>
      <c r="H1457" s="103"/>
      <c r="I1457" s="58">
        <f>E1457*G1457</f>
        <v>0</v>
      </c>
      <c r="J1457" s="1"/>
      <c r="K1457" s="1">
        <f>K1459+K1461+K1462</f>
        <v>37.549999999999997</v>
      </c>
    </row>
    <row r="1458" spans="1:11" x14ac:dyDescent="0.25">
      <c r="A1458" s="29" t="s">
        <v>130</v>
      </c>
      <c r="B1458" s="205" t="s">
        <v>13</v>
      </c>
      <c r="C1458" s="70" t="s">
        <v>55</v>
      </c>
      <c r="D1458" s="71" t="s">
        <v>38</v>
      </c>
      <c r="E1458" s="72">
        <f>0.606*E1457</f>
        <v>22.76</v>
      </c>
      <c r="F1458" s="33">
        <v>0</v>
      </c>
      <c r="G1458" s="15"/>
      <c r="H1458" s="33">
        <f t="shared" ref="H1458:H1462" si="128">E1458*F1458</f>
        <v>0</v>
      </c>
      <c r="I1458" s="15"/>
      <c r="J1458" s="1"/>
      <c r="K1458" s="1"/>
    </row>
    <row r="1459" spans="1:11" ht="30" x14ac:dyDescent="0.25">
      <c r="A1459" s="29" t="s">
        <v>144</v>
      </c>
      <c r="B1459" s="247" t="s">
        <v>13</v>
      </c>
      <c r="C1459" s="124" t="s">
        <v>207</v>
      </c>
      <c r="D1459" s="12" t="s">
        <v>58</v>
      </c>
      <c r="E1459" s="311">
        <v>31.1</v>
      </c>
      <c r="F1459" s="33">
        <v>0</v>
      </c>
      <c r="G1459" s="102"/>
      <c r="H1459" s="113">
        <f t="shared" si="128"/>
        <v>0</v>
      </c>
      <c r="I1459" s="15"/>
      <c r="J1459" s="1"/>
      <c r="K1459" s="1">
        <v>29.85</v>
      </c>
    </row>
    <row r="1460" spans="1:11" ht="30" x14ac:dyDescent="0.25">
      <c r="A1460" s="29" t="s">
        <v>145</v>
      </c>
      <c r="B1460" s="247" t="s">
        <v>13</v>
      </c>
      <c r="C1460" s="124" t="s">
        <v>208</v>
      </c>
      <c r="D1460" s="12" t="s">
        <v>58</v>
      </c>
      <c r="E1460" s="311">
        <v>63.9</v>
      </c>
      <c r="F1460" s="33">
        <v>0</v>
      </c>
      <c r="G1460" s="102"/>
      <c r="H1460" s="113">
        <f t="shared" si="128"/>
        <v>0</v>
      </c>
      <c r="I1460" s="15"/>
      <c r="J1460" s="1"/>
      <c r="K1460" s="1"/>
    </row>
    <row r="1461" spans="1:11" ht="30" x14ac:dyDescent="0.25">
      <c r="A1461" s="29" t="s">
        <v>146</v>
      </c>
      <c r="B1461" s="247" t="s">
        <v>13</v>
      </c>
      <c r="C1461" s="124" t="s">
        <v>154</v>
      </c>
      <c r="D1461" s="12" t="s">
        <v>14</v>
      </c>
      <c r="E1461" s="12">
        <v>45</v>
      </c>
      <c r="F1461" s="33">
        <v>0</v>
      </c>
      <c r="G1461" s="102"/>
      <c r="H1461" s="113">
        <f t="shared" si="128"/>
        <v>0</v>
      </c>
      <c r="I1461" s="15"/>
      <c r="J1461" s="1"/>
      <c r="K1461" s="1">
        <f>45*0.1</f>
        <v>4.5</v>
      </c>
    </row>
    <row r="1462" spans="1:11" ht="30" x14ac:dyDescent="0.25">
      <c r="A1462" s="29" t="s">
        <v>147</v>
      </c>
      <c r="B1462" s="247" t="s">
        <v>13</v>
      </c>
      <c r="C1462" s="124" t="s">
        <v>159</v>
      </c>
      <c r="D1462" s="12" t="s">
        <v>14</v>
      </c>
      <c r="E1462" s="311">
        <v>32</v>
      </c>
      <c r="F1462" s="33">
        <v>0</v>
      </c>
      <c r="G1462" s="102"/>
      <c r="H1462" s="113">
        <f t="shared" si="128"/>
        <v>0</v>
      </c>
      <c r="I1462" s="15"/>
      <c r="J1462" s="1"/>
      <c r="K1462" s="1">
        <f>32*0.1</f>
        <v>3.2</v>
      </c>
    </row>
    <row r="1463" spans="1:11" ht="28.5" x14ac:dyDescent="0.25">
      <c r="A1463" s="26" t="s">
        <v>793</v>
      </c>
      <c r="B1463" s="259" t="s">
        <v>9</v>
      </c>
      <c r="C1463" s="17" t="s">
        <v>211</v>
      </c>
      <c r="D1463" s="19" t="s">
        <v>54</v>
      </c>
      <c r="E1463" s="18">
        <v>22.3</v>
      </c>
      <c r="F1463" s="28"/>
      <c r="G1463" s="117">
        <v>0</v>
      </c>
      <c r="H1463" s="103"/>
      <c r="I1463" s="58">
        <f>E1463*G1463</f>
        <v>0</v>
      </c>
      <c r="J1463" s="1"/>
      <c r="K1463" s="1"/>
    </row>
    <row r="1464" spans="1:11" x14ac:dyDescent="0.25">
      <c r="A1464" s="93" t="s">
        <v>131</v>
      </c>
      <c r="B1464" s="247" t="s">
        <v>13</v>
      </c>
      <c r="C1464" s="188" t="s">
        <v>209</v>
      </c>
      <c r="D1464" s="90" t="s">
        <v>54</v>
      </c>
      <c r="E1464" s="12">
        <f>1.1*E1463</f>
        <v>24.53</v>
      </c>
      <c r="F1464" s="33">
        <v>0</v>
      </c>
      <c r="G1464" s="102"/>
      <c r="H1464" s="113">
        <f>E1464*F1464</f>
        <v>0</v>
      </c>
      <c r="I1464" s="15"/>
      <c r="J1464" s="1"/>
      <c r="K1464" s="1"/>
    </row>
    <row r="1465" spans="1:11" ht="15.75" thickBot="1" x14ac:dyDescent="0.3">
      <c r="A1465" s="129" t="s">
        <v>132</v>
      </c>
      <c r="B1465" s="248" t="s">
        <v>13</v>
      </c>
      <c r="C1465" s="91" t="s">
        <v>210</v>
      </c>
      <c r="D1465" s="92" t="s">
        <v>38</v>
      </c>
      <c r="E1465" s="141">
        <f>0.7*E1463</f>
        <v>15.61</v>
      </c>
      <c r="F1465" s="186">
        <v>0</v>
      </c>
      <c r="G1465" s="114"/>
      <c r="H1465" s="120">
        <f>E1465*F1465</f>
        <v>0</v>
      </c>
      <c r="I1465" s="127"/>
      <c r="J1465" s="1"/>
      <c r="K1465" s="1"/>
    </row>
    <row r="1466" spans="1:11" ht="15.75" thickBot="1" x14ac:dyDescent="0.3">
      <c r="A1466" s="83"/>
      <c r="B1466" s="237"/>
      <c r="C1466" s="268" t="s">
        <v>44</v>
      </c>
      <c r="D1466" s="49"/>
      <c r="E1466" s="49"/>
      <c r="F1466" s="132"/>
      <c r="G1466" s="109"/>
      <c r="H1466" s="121">
        <f>SUM(H1454:H1465)</f>
        <v>0</v>
      </c>
      <c r="I1466" s="86">
        <f>SUM(I1454:I1465)</f>
        <v>0</v>
      </c>
      <c r="J1466" s="1"/>
      <c r="K1466" s="1"/>
    </row>
    <row r="1467" spans="1:11" ht="15.75" thickBot="1" x14ac:dyDescent="0.3">
      <c r="A1467" s="182"/>
      <c r="B1467" s="224"/>
      <c r="C1467" s="272" t="s">
        <v>418</v>
      </c>
      <c r="D1467" s="105"/>
      <c r="E1467" s="105"/>
      <c r="F1467" s="153"/>
      <c r="G1467" s="154"/>
      <c r="H1467" s="273">
        <f>H1291+H1370+H1452+H1466</f>
        <v>0</v>
      </c>
      <c r="I1467" s="274">
        <f>I1291+I1370+I1452+I1466</f>
        <v>0</v>
      </c>
      <c r="J1467" s="1"/>
      <c r="K1467" s="1"/>
    </row>
    <row r="1468" spans="1:11" ht="15.75" thickBot="1" x14ac:dyDescent="0.3">
      <c r="A1468" s="182"/>
      <c r="B1468" s="275"/>
      <c r="C1468" s="272" t="s">
        <v>751</v>
      </c>
      <c r="D1468" s="105"/>
      <c r="E1468" s="105"/>
      <c r="F1468" s="153"/>
      <c r="G1468" s="154"/>
      <c r="H1468" s="273"/>
      <c r="I1468" s="274">
        <f>H1467+I1467</f>
        <v>0</v>
      </c>
      <c r="J1468" s="1"/>
      <c r="K1468" s="1"/>
    </row>
    <row r="1469" spans="1:11" ht="15.75" thickBot="1" x14ac:dyDescent="0.3">
      <c r="A1469" s="140"/>
      <c r="B1469" s="84" t="s">
        <v>869</v>
      </c>
      <c r="C1469" s="47" t="s">
        <v>752</v>
      </c>
      <c r="D1469" s="49"/>
      <c r="E1469" s="49"/>
      <c r="F1469" s="132"/>
      <c r="G1469" s="109"/>
      <c r="H1469" s="121"/>
      <c r="I1469" s="86"/>
    </row>
    <row r="1470" spans="1:11" ht="15.75" thickBot="1" x14ac:dyDescent="0.3">
      <c r="A1470" s="140"/>
      <c r="B1470" s="207"/>
      <c r="C1470" s="47" t="s">
        <v>753</v>
      </c>
      <c r="D1470" s="48"/>
      <c r="E1470" s="48"/>
      <c r="F1470" s="132"/>
      <c r="G1470" s="109"/>
      <c r="H1470" s="99"/>
      <c r="I1470" s="86"/>
    </row>
    <row r="1471" spans="1:11" ht="42.75" x14ac:dyDescent="0.25">
      <c r="A1471" s="139">
        <v>1</v>
      </c>
      <c r="B1471" s="210" t="s">
        <v>9</v>
      </c>
      <c r="C1471" s="74" t="s">
        <v>217</v>
      </c>
      <c r="D1471" s="88" t="s">
        <v>54</v>
      </c>
      <c r="E1471" s="88">
        <f>0.33*2</f>
        <v>0.66</v>
      </c>
      <c r="F1471" s="150"/>
      <c r="G1471" s="65">
        <v>0</v>
      </c>
      <c r="H1471" s="150"/>
      <c r="I1471" s="65">
        <f>E1471*G1471</f>
        <v>0</v>
      </c>
    </row>
    <row r="1472" spans="1:11" x14ac:dyDescent="0.25">
      <c r="A1472" s="10" t="s">
        <v>12</v>
      </c>
      <c r="B1472" s="211" t="s">
        <v>13</v>
      </c>
      <c r="C1472" s="11" t="s">
        <v>55</v>
      </c>
      <c r="D1472" s="20" t="s">
        <v>38</v>
      </c>
      <c r="E1472" s="76">
        <f>1.22*E1471</f>
        <v>0.81</v>
      </c>
      <c r="F1472" s="33">
        <v>0</v>
      </c>
      <c r="G1472" s="15"/>
      <c r="H1472" s="33">
        <f t="shared" ref="H1472:H1473" si="129">E1472*F1472</f>
        <v>0</v>
      </c>
      <c r="I1472" s="15"/>
    </row>
    <row r="1473" spans="1:11" x14ac:dyDescent="0.25">
      <c r="A1473" s="29" t="s">
        <v>15</v>
      </c>
      <c r="B1473" s="205" t="s">
        <v>13</v>
      </c>
      <c r="C1473" s="11" t="s">
        <v>216</v>
      </c>
      <c r="D1473" s="20" t="s">
        <v>58</v>
      </c>
      <c r="E1473" s="20">
        <v>0.6</v>
      </c>
      <c r="F1473" s="33">
        <v>0</v>
      </c>
      <c r="G1473" s="15"/>
      <c r="H1473" s="33">
        <f t="shared" si="129"/>
        <v>0</v>
      </c>
      <c r="I1473" s="15"/>
      <c r="K1473" s="115">
        <f>1.1*E1473</f>
        <v>0.66</v>
      </c>
    </row>
    <row r="1474" spans="1:11" ht="28.5" x14ac:dyDescent="0.25">
      <c r="A1474" s="16" t="s">
        <v>16</v>
      </c>
      <c r="B1474" s="212" t="s">
        <v>9</v>
      </c>
      <c r="C1474" s="295" t="s">
        <v>67</v>
      </c>
      <c r="D1474" s="18" t="s">
        <v>14</v>
      </c>
      <c r="E1474" s="310">
        <v>2</v>
      </c>
      <c r="F1474" s="13"/>
      <c r="G1474" s="117">
        <v>0</v>
      </c>
      <c r="H1474" s="103"/>
      <c r="I1474" s="58">
        <f>E1474*G1474</f>
        <v>0</v>
      </c>
    </row>
    <row r="1475" spans="1:11" x14ac:dyDescent="0.25">
      <c r="A1475" s="29" t="s">
        <v>17</v>
      </c>
      <c r="B1475" s="211" t="s">
        <v>13</v>
      </c>
      <c r="C1475" s="70" t="s">
        <v>218</v>
      </c>
      <c r="D1475" s="12" t="s">
        <v>14</v>
      </c>
      <c r="E1475" s="311">
        <v>2</v>
      </c>
      <c r="F1475" s="14">
        <v>0</v>
      </c>
      <c r="G1475" s="102"/>
      <c r="H1475" s="113">
        <f>E1475*F1475</f>
        <v>0</v>
      </c>
      <c r="I1475" s="15"/>
    </row>
    <row r="1476" spans="1:11" ht="28.5" x14ac:dyDescent="0.25">
      <c r="A1476" s="16" t="s">
        <v>19</v>
      </c>
      <c r="B1476" s="212" t="s">
        <v>9</v>
      </c>
      <c r="C1476" s="295" t="s">
        <v>562</v>
      </c>
      <c r="D1476" s="18" t="s">
        <v>14</v>
      </c>
      <c r="E1476" s="310">
        <v>2</v>
      </c>
      <c r="F1476" s="13"/>
      <c r="G1476" s="117">
        <v>0</v>
      </c>
      <c r="H1476" s="103"/>
      <c r="I1476" s="58">
        <f>E1476*G1476</f>
        <v>0</v>
      </c>
    </row>
    <row r="1477" spans="1:11" ht="30.75" thickBot="1" x14ac:dyDescent="0.3">
      <c r="A1477" s="54" t="s">
        <v>22</v>
      </c>
      <c r="B1477" s="213" t="s">
        <v>13</v>
      </c>
      <c r="C1477" s="122" t="s">
        <v>219</v>
      </c>
      <c r="D1477" s="141" t="s">
        <v>14</v>
      </c>
      <c r="E1477" s="141">
        <v>2</v>
      </c>
      <c r="F1477" s="142">
        <v>0</v>
      </c>
      <c r="G1477" s="114"/>
      <c r="H1477" s="120">
        <f>E1477*F1477</f>
        <v>0</v>
      </c>
      <c r="I1477" s="127"/>
    </row>
    <row r="1478" spans="1:11" ht="15.75" thickBot="1" x14ac:dyDescent="0.3">
      <c r="A1478" s="45"/>
      <c r="B1478" s="214"/>
      <c r="C1478" s="278" t="s">
        <v>417</v>
      </c>
      <c r="D1478" s="49"/>
      <c r="E1478" s="49"/>
      <c r="F1478" s="51"/>
      <c r="G1478" s="109"/>
      <c r="H1478" s="121">
        <f>SUM(H1472:H1477)</f>
        <v>0</v>
      </c>
      <c r="I1478" s="86">
        <f>SUM(I1471:I1477)</f>
        <v>0</v>
      </c>
    </row>
    <row r="1479" spans="1:11" ht="15.75" thickBot="1" x14ac:dyDescent="0.3">
      <c r="A1479" s="45"/>
      <c r="B1479" s="214"/>
      <c r="C1479" s="145" t="s">
        <v>754</v>
      </c>
      <c r="D1479" s="49"/>
      <c r="E1479" s="49"/>
      <c r="F1479" s="51"/>
      <c r="G1479" s="109"/>
      <c r="H1479" s="144"/>
      <c r="I1479" s="52"/>
    </row>
    <row r="1480" spans="1:11" ht="42.75" x14ac:dyDescent="0.25">
      <c r="A1480" s="100" t="s">
        <v>23</v>
      </c>
      <c r="B1480" s="210" t="s">
        <v>9</v>
      </c>
      <c r="C1480" s="74" t="s">
        <v>53</v>
      </c>
      <c r="D1480" s="18" t="s">
        <v>54</v>
      </c>
      <c r="E1480" s="18">
        <v>1.18</v>
      </c>
      <c r="F1480" s="28"/>
      <c r="G1480" s="117">
        <v>0</v>
      </c>
      <c r="H1480" s="103"/>
      <c r="I1480" s="58">
        <f>E1480*G1480</f>
        <v>0</v>
      </c>
    </row>
    <row r="1481" spans="1:11" x14ac:dyDescent="0.25">
      <c r="A1481" s="10" t="s">
        <v>24</v>
      </c>
      <c r="B1481" s="211" t="s">
        <v>13</v>
      </c>
      <c r="C1481" s="70" t="s">
        <v>55</v>
      </c>
      <c r="D1481" s="71" t="s">
        <v>38</v>
      </c>
      <c r="E1481" s="72">
        <f>0.606*E1480</f>
        <v>0.72</v>
      </c>
      <c r="F1481" s="33">
        <v>0</v>
      </c>
      <c r="G1481" s="15"/>
      <c r="H1481" s="33">
        <f t="shared" ref="H1481:H1482" si="130">E1481*F1481</f>
        <v>0</v>
      </c>
      <c r="I1481" s="15"/>
    </row>
    <row r="1482" spans="1:11" ht="30" x14ac:dyDescent="0.25">
      <c r="A1482" s="10" t="s">
        <v>60</v>
      </c>
      <c r="B1482" s="211" t="s">
        <v>13</v>
      </c>
      <c r="C1482" s="124" t="s">
        <v>324</v>
      </c>
      <c r="D1482" s="12" t="s">
        <v>58</v>
      </c>
      <c r="E1482" s="12">
        <v>3</v>
      </c>
      <c r="F1482" s="33">
        <v>0</v>
      </c>
      <c r="G1482" s="102"/>
      <c r="H1482" s="113">
        <f t="shared" si="130"/>
        <v>0</v>
      </c>
      <c r="I1482" s="15"/>
    </row>
    <row r="1483" spans="1:11" ht="28.5" x14ac:dyDescent="0.25">
      <c r="A1483" s="16" t="s">
        <v>51</v>
      </c>
      <c r="B1483" s="215" t="s">
        <v>9</v>
      </c>
      <c r="C1483" s="17" t="s">
        <v>222</v>
      </c>
      <c r="D1483" s="18" t="s">
        <v>14</v>
      </c>
      <c r="E1483" s="18">
        <v>1</v>
      </c>
      <c r="F1483" s="13"/>
      <c r="G1483" s="117">
        <v>0</v>
      </c>
      <c r="H1483" s="103"/>
      <c r="I1483" s="58">
        <f>E1483*G1483</f>
        <v>0</v>
      </c>
    </row>
    <row r="1484" spans="1:11" x14ac:dyDescent="0.25">
      <c r="A1484" s="10" t="s">
        <v>26</v>
      </c>
      <c r="B1484" s="211" t="s">
        <v>13</v>
      </c>
      <c r="C1484" s="11" t="s">
        <v>223</v>
      </c>
      <c r="D1484" s="12" t="s">
        <v>14</v>
      </c>
      <c r="E1484" s="12">
        <v>1</v>
      </c>
      <c r="F1484" s="14">
        <v>0</v>
      </c>
      <c r="G1484" s="102"/>
      <c r="H1484" s="113">
        <f>E1484*F1484</f>
        <v>0</v>
      </c>
      <c r="I1484" s="15"/>
    </row>
    <row r="1485" spans="1:11" x14ac:dyDescent="0.25">
      <c r="A1485" s="10" t="s">
        <v>27</v>
      </c>
      <c r="B1485" s="211" t="s">
        <v>13</v>
      </c>
      <c r="C1485" s="11" t="s">
        <v>224</v>
      </c>
      <c r="D1485" s="12" t="s">
        <v>14</v>
      </c>
      <c r="E1485" s="12">
        <v>1</v>
      </c>
      <c r="F1485" s="14">
        <v>0</v>
      </c>
      <c r="G1485" s="102"/>
      <c r="H1485" s="113">
        <f>E1485*F1485</f>
        <v>0</v>
      </c>
      <c r="I1485" s="15"/>
    </row>
    <row r="1486" spans="1:11" ht="28.5" x14ac:dyDescent="0.25">
      <c r="A1486" s="16" t="s">
        <v>29</v>
      </c>
      <c r="B1486" s="215" t="s">
        <v>9</v>
      </c>
      <c r="C1486" s="17" t="s">
        <v>225</v>
      </c>
      <c r="D1486" s="18" t="s">
        <v>54</v>
      </c>
      <c r="E1486" s="18">
        <v>1.6</v>
      </c>
      <c r="F1486" s="13"/>
      <c r="G1486" s="117">
        <v>0</v>
      </c>
      <c r="H1486" s="103"/>
      <c r="I1486" s="58">
        <f>E1486*G1486</f>
        <v>0</v>
      </c>
    </row>
    <row r="1487" spans="1:11" ht="15.75" thickBot="1" x14ac:dyDescent="0.3">
      <c r="A1487" s="54" t="s">
        <v>31</v>
      </c>
      <c r="B1487" s="213" t="s">
        <v>13</v>
      </c>
      <c r="C1487" s="55" t="s">
        <v>203</v>
      </c>
      <c r="D1487" s="141" t="s">
        <v>54</v>
      </c>
      <c r="E1487" s="141">
        <v>1.6</v>
      </c>
      <c r="F1487" s="142">
        <v>0</v>
      </c>
      <c r="G1487" s="114"/>
      <c r="H1487" s="120">
        <f>E1487*F1487</f>
        <v>0</v>
      </c>
      <c r="I1487" s="127"/>
    </row>
    <row r="1488" spans="1:11" ht="15.75" thickBot="1" x14ac:dyDescent="0.3">
      <c r="A1488" s="45"/>
      <c r="B1488" s="214"/>
      <c r="C1488" s="268" t="s">
        <v>417</v>
      </c>
      <c r="D1488" s="49"/>
      <c r="E1488" s="49"/>
      <c r="F1488" s="51"/>
      <c r="G1488" s="109"/>
      <c r="H1488" s="121">
        <f>SUM(H1481:H1487)</f>
        <v>0</v>
      </c>
      <c r="I1488" s="86">
        <f>SUM(I1480:I1487)</f>
        <v>0</v>
      </c>
    </row>
    <row r="1489" spans="1:11" ht="15.75" thickBot="1" x14ac:dyDescent="0.3">
      <c r="A1489" s="45"/>
      <c r="B1489" s="214"/>
      <c r="C1489" s="47" t="s">
        <v>755</v>
      </c>
      <c r="D1489" s="49"/>
      <c r="E1489" s="49"/>
      <c r="F1489" s="51"/>
      <c r="G1489" s="109"/>
      <c r="H1489" s="144"/>
      <c r="I1489" s="52"/>
    </row>
    <row r="1490" spans="1:11" ht="42.75" x14ac:dyDescent="0.25">
      <c r="A1490" s="139">
        <v>7</v>
      </c>
      <c r="B1490" s="210" t="s">
        <v>9</v>
      </c>
      <c r="C1490" s="74" t="s">
        <v>217</v>
      </c>
      <c r="D1490" s="88" t="s">
        <v>54</v>
      </c>
      <c r="E1490" s="88">
        <v>63.8</v>
      </c>
      <c r="F1490" s="150"/>
      <c r="G1490" s="65">
        <v>0</v>
      </c>
      <c r="H1490" s="150"/>
      <c r="I1490" s="65">
        <f>E1490*G1490</f>
        <v>0</v>
      </c>
      <c r="K1490" s="115">
        <f>K1492+K1493+K1494</f>
        <v>63.8</v>
      </c>
    </row>
    <row r="1491" spans="1:11" x14ac:dyDescent="0.25">
      <c r="A1491" s="10" t="s">
        <v>33</v>
      </c>
      <c r="B1491" s="211" t="s">
        <v>13</v>
      </c>
      <c r="C1491" s="11" t="s">
        <v>55</v>
      </c>
      <c r="D1491" s="20" t="s">
        <v>38</v>
      </c>
      <c r="E1491" s="76">
        <f>1.22*E1490</f>
        <v>77.84</v>
      </c>
      <c r="F1491" s="33">
        <v>0</v>
      </c>
      <c r="G1491" s="15"/>
      <c r="H1491" s="33">
        <f t="shared" ref="H1491" si="131">E1491*F1491</f>
        <v>0</v>
      </c>
      <c r="I1491" s="15"/>
    </row>
    <row r="1492" spans="1:11" ht="30" x14ac:dyDescent="0.25">
      <c r="A1492" s="10" t="s">
        <v>34</v>
      </c>
      <c r="B1492" s="211" t="s">
        <v>13</v>
      </c>
      <c r="C1492" s="277" t="s">
        <v>227</v>
      </c>
      <c r="D1492" s="12" t="s">
        <v>58</v>
      </c>
      <c r="E1492" s="12">
        <v>0.1</v>
      </c>
      <c r="F1492" s="14">
        <v>0</v>
      </c>
      <c r="G1492" s="102"/>
      <c r="H1492" s="113">
        <f>E1492*F1492</f>
        <v>0</v>
      </c>
      <c r="I1492" s="15"/>
      <c r="K1492" s="115">
        <f>1.2*E1492</f>
        <v>0.12</v>
      </c>
    </row>
    <row r="1493" spans="1:11" ht="30" x14ac:dyDescent="0.25">
      <c r="A1493" s="10" t="s">
        <v>35</v>
      </c>
      <c r="B1493" s="211" t="s">
        <v>13</v>
      </c>
      <c r="C1493" s="70" t="s">
        <v>228</v>
      </c>
      <c r="D1493" s="12" t="s">
        <v>58</v>
      </c>
      <c r="E1493" s="12">
        <v>52</v>
      </c>
      <c r="F1493" s="14">
        <v>0</v>
      </c>
      <c r="G1493" s="102"/>
      <c r="H1493" s="113">
        <f t="shared" ref="H1493:H1495" si="132">E1493*F1493</f>
        <v>0</v>
      </c>
      <c r="I1493" s="15"/>
      <c r="K1493" s="115">
        <f>1.2*E1493</f>
        <v>62.4</v>
      </c>
    </row>
    <row r="1494" spans="1:11" ht="30" x14ac:dyDescent="0.25">
      <c r="A1494" s="10" t="s">
        <v>151</v>
      </c>
      <c r="B1494" s="211" t="s">
        <v>13</v>
      </c>
      <c r="C1494" s="70" t="s">
        <v>229</v>
      </c>
      <c r="D1494" s="20" t="s">
        <v>14</v>
      </c>
      <c r="E1494" s="20">
        <v>2</v>
      </c>
      <c r="F1494" s="14">
        <v>0</v>
      </c>
      <c r="G1494" s="102"/>
      <c r="H1494" s="113">
        <f t="shared" si="132"/>
        <v>0</v>
      </c>
      <c r="I1494" s="15"/>
      <c r="K1494" s="115">
        <f>0.64*E1494</f>
        <v>1.28</v>
      </c>
    </row>
    <row r="1495" spans="1:11" x14ac:dyDescent="0.25">
      <c r="A1495" s="10" t="s">
        <v>152</v>
      </c>
      <c r="B1495" s="211" t="s">
        <v>13</v>
      </c>
      <c r="C1495" s="70" t="s">
        <v>230</v>
      </c>
      <c r="D1495" s="20" t="s">
        <v>54</v>
      </c>
      <c r="E1495" s="20">
        <v>0.1</v>
      </c>
      <c r="F1495" s="14">
        <v>0</v>
      </c>
      <c r="G1495" s="102"/>
      <c r="H1495" s="113">
        <f t="shared" si="132"/>
        <v>0</v>
      </c>
      <c r="I1495" s="15"/>
    </row>
    <row r="1496" spans="1:11" x14ac:dyDescent="0.25">
      <c r="A1496" s="16" t="s">
        <v>36</v>
      </c>
      <c r="B1496" s="294" t="s">
        <v>9</v>
      </c>
      <c r="C1496" s="295" t="s">
        <v>468</v>
      </c>
      <c r="D1496" s="19" t="s">
        <v>14</v>
      </c>
      <c r="E1496" s="19">
        <v>1</v>
      </c>
      <c r="F1496" s="28"/>
      <c r="G1496" s="117">
        <v>0</v>
      </c>
      <c r="H1496" s="103"/>
      <c r="I1496" s="58">
        <f>E1496*G1496</f>
        <v>0</v>
      </c>
    </row>
    <row r="1497" spans="1:11" x14ac:dyDescent="0.25">
      <c r="A1497" s="10" t="s">
        <v>37</v>
      </c>
      <c r="B1497" s="229" t="s">
        <v>13</v>
      </c>
      <c r="C1497" s="70" t="s">
        <v>328</v>
      </c>
      <c r="D1497" s="20" t="s">
        <v>14</v>
      </c>
      <c r="E1497" s="20">
        <v>1</v>
      </c>
      <c r="F1497" s="33">
        <v>0</v>
      </c>
      <c r="G1497" s="102"/>
      <c r="H1497" s="113">
        <f>E1497*F1497</f>
        <v>0</v>
      </c>
      <c r="I1497" s="15"/>
    </row>
    <row r="1498" spans="1:11" ht="28.5" x14ac:dyDescent="0.25">
      <c r="A1498" s="95" t="s">
        <v>39</v>
      </c>
      <c r="B1498" s="247" t="s">
        <v>9</v>
      </c>
      <c r="C1498" s="17" t="s">
        <v>211</v>
      </c>
      <c r="D1498" s="19" t="s">
        <v>54</v>
      </c>
      <c r="E1498" s="18">
        <v>65.2</v>
      </c>
      <c r="F1498" s="28"/>
      <c r="G1498" s="117">
        <v>0</v>
      </c>
      <c r="H1498" s="103"/>
      <c r="I1498" s="58">
        <f>E1498*G1498</f>
        <v>0</v>
      </c>
    </row>
    <row r="1499" spans="1:11" x14ac:dyDescent="0.25">
      <c r="A1499" s="93" t="s">
        <v>40</v>
      </c>
      <c r="B1499" s="247" t="s">
        <v>13</v>
      </c>
      <c r="C1499" s="188" t="s">
        <v>209</v>
      </c>
      <c r="D1499" s="90" t="s">
        <v>54</v>
      </c>
      <c r="E1499" s="12">
        <f>1.1*E1498</f>
        <v>71.72</v>
      </c>
      <c r="F1499" s="33">
        <v>0</v>
      </c>
      <c r="G1499" s="102"/>
      <c r="H1499" s="113">
        <f>E1499*F1499</f>
        <v>0</v>
      </c>
      <c r="I1499" s="15"/>
    </row>
    <row r="1500" spans="1:11" x14ac:dyDescent="0.25">
      <c r="A1500" s="131" t="s">
        <v>41</v>
      </c>
      <c r="B1500" s="248" t="s">
        <v>13</v>
      </c>
      <c r="C1500" s="91" t="s">
        <v>210</v>
      </c>
      <c r="D1500" s="92" t="s">
        <v>38</v>
      </c>
      <c r="E1500" s="141">
        <f>0.7*E1498</f>
        <v>45.64</v>
      </c>
      <c r="F1500" s="186">
        <v>0</v>
      </c>
      <c r="G1500" s="114"/>
      <c r="H1500" s="120">
        <f>E1500*F1500</f>
        <v>0</v>
      </c>
      <c r="I1500" s="127"/>
    </row>
    <row r="1501" spans="1:11" ht="28.5" x14ac:dyDescent="0.25">
      <c r="A1501" s="16" t="s">
        <v>242</v>
      </c>
      <c r="B1501" s="228" t="s">
        <v>9</v>
      </c>
      <c r="C1501" s="17" t="s">
        <v>48</v>
      </c>
      <c r="D1501" s="20" t="s">
        <v>14</v>
      </c>
      <c r="E1501" s="19">
        <v>1</v>
      </c>
      <c r="F1501" s="13"/>
      <c r="G1501" s="117">
        <v>0</v>
      </c>
      <c r="H1501" s="103"/>
      <c r="I1501" s="58">
        <f>E1501*G1501</f>
        <v>0</v>
      </c>
    </row>
    <row r="1502" spans="1:11" ht="30.75" thickBot="1" x14ac:dyDescent="0.3">
      <c r="A1502" s="54" t="s">
        <v>42</v>
      </c>
      <c r="B1502" s="200" t="s">
        <v>13</v>
      </c>
      <c r="C1502" s="122" t="s">
        <v>231</v>
      </c>
      <c r="D1502" s="94" t="s">
        <v>14</v>
      </c>
      <c r="E1502" s="94">
        <v>1</v>
      </c>
      <c r="F1502" s="142">
        <v>0</v>
      </c>
      <c r="G1502" s="114"/>
      <c r="H1502" s="120">
        <f>E1502*F1502</f>
        <v>0</v>
      </c>
      <c r="I1502" s="127"/>
    </row>
    <row r="1503" spans="1:11" ht="15.75" thickBot="1" x14ac:dyDescent="0.3">
      <c r="A1503" s="45"/>
      <c r="B1503" s="216"/>
      <c r="C1503" s="278" t="s">
        <v>417</v>
      </c>
      <c r="D1503" s="48"/>
      <c r="E1503" s="48"/>
      <c r="F1503" s="51"/>
      <c r="G1503" s="109"/>
      <c r="H1503" s="121">
        <f>SUM(H1491:H1502)</f>
        <v>0</v>
      </c>
      <c r="I1503" s="86">
        <f>SUM(I1490:I1502)</f>
        <v>0</v>
      </c>
    </row>
    <row r="1504" spans="1:11" ht="15.75" thickBot="1" x14ac:dyDescent="0.3">
      <c r="A1504" s="45"/>
      <c r="B1504" s="216"/>
      <c r="C1504" s="145" t="s">
        <v>756</v>
      </c>
      <c r="D1504" s="48"/>
      <c r="E1504" s="48"/>
      <c r="F1504" s="51"/>
      <c r="G1504" s="109"/>
      <c r="H1504" s="144"/>
      <c r="I1504" s="52"/>
    </row>
    <row r="1505" spans="1:11" ht="42.75" x14ac:dyDescent="0.25">
      <c r="A1505" s="97" t="s">
        <v>69</v>
      </c>
      <c r="B1505" s="204" t="s">
        <v>9</v>
      </c>
      <c r="C1505" s="5" t="s">
        <v>53</v>
      </c>
      <c r="D1505" s="53" t="s">
        <v>54</v>
      </c>
      <c r="E1505" s="4">
        <v>1.71</v>
      </c>
      <c r="F1505" s="8"/>
      <c r="G1505" s="172">
        <v>0</v>
      </c>
      <c r="H1505" s="6"/>
      <c r="I1505" s="42">
        <f>E1505*G1505</f>
        <v>0</v>
      </c>
      <c r="K1505" s="115">
        <f>K1507+K1508+K1509+K1510+K1511</f>
        <v>1.71</v>
      </c>
    </row>
    <row r="1506" spans="1:11" x14ac:dyDescent="0.25">
      <c r="A1506" s="112" t="s">
        <v>70</v>
      </c>
      <c r="B1506" s="283" t="s">
        <v>13</v>
      </c>
      <c r="C1506" s="188" t="s">
        <v>165</v>
      </c>
      <c r="D1506" s="90" t="s">
        <v>38</v>
      </c>
      <c r="E1506" s="284">
        <f>0.606*E1505</f>
        <v>1.04</v>
      </c>
      <c r="F1506" s="63">
        <v>0</v>
      </c>
      <c r="G1506" s="101"/>
      <c r="H1506" s="126">
        <f>E1506*F1506</f>
        <v>0</v>
      </c>
      <c r="I1506" s="119"/>
    </row>
    <row r="1507" spans="1:11" ht="30" x14ac:dyDescent="0.25">
      <c r="A1507" s="10" t="s">
        <v>71</v>
      </c>
      <c r="B1507" s="229" t="s">
        <v>13</v>
      </c>
      <c r="C1507" s="70" t="s">
        <v>207</v>
      </c>
      <c r="D1507" s="20" t="s">
        <v>58</v>
      </c>
      <c r="E1507" s="12">
        <v>3.9</v>
      </c>
      <c r="F1507" s="14">
        <v>0</v>
      </c>
      <c r="G1507" s="102"/>
      <c r="H1507" s="113">
        <f>E1507*F1507</f>
        <v>0</v>
      </c>
      <c r="I1507" s="15"/>
      <c r="K1507" s="115">
        <v>1.23</v>
      </c>
    </row>
    <row r="1508" spans="1:11" x14ac:dyDescent="0.25">
      <c r="A1508" s="112" t="s">
        <v>72</v>
      </c>
      <c r="B1508" s="229" t="s">
        <v>13</v>
      </c>
      <c r="C1508" s="70" t="s">
        <v>234</v>
      </c>
      <c r="D1508" s="20" t="s">
        <v>14</v>
      </c>
      <c r="E1508" s="12">
        <f>1+1</f>
        <v>2</v>
      </c>
      <c r="F1508" s="14">
        <v>0</v>
      </c>
      <c r="G1508" s="102"/>
      <c r="H1508" s="113">
        <f t="shared" ref="H1508:H1511" si="133">E1508*F1508</f>
        <v>0</v>
      </c>
      <c r="I1508" s="15"/>
      <c r="K1508" s="115">
        <f>0.05*E1508</f>
        <v>0.1</v>
      </c>
    </row>
    <row r="1509" spans="1:11" x14ac:dyDescent="0.25">
      <c r="A1509" s="10" t="s">
        <v>445</v>
      </c>
      <c r="B1509" s="229" t="s">
        <v>13</v>
      </c>
      <c r="C1509" s="70" t="s">
        <v>235</v>
      </c>
      <c r="D1509" s="20" t="s">
        <v>14</v>
      </c>
      <c r="E1509" s="12">
        <f>1+1</f>
        <v>2</v>
      </c>
      <c r="F1509" s="14">
        <v>0</v>
      </c>
      <c r="G1509" s="102"/>
      <c r="H1509" s="113">
        <f t="shared" si="133"/>
        <v>0</v>
      </c>
      <c r="I1509" s="15"/>
      <c r="K1509" s="115">
        <f>0.02*E1509</f>
        <v>0.04</v>
      </c>
    </row>
    <row r="1510" spans="1:11" x14ac:dyDescent="0.25">
      <c r="A1510" s="112" t="s">
        <v>446</v>
      </c>
      <c r="B1510" s="233" t="s">
        <v>13</v>
      </c>
      <c r="C1510" s="70" t="s">
        <v>237</v>
      </c>
      <c r="D1510" s="20" t="s">
        <v>14</v>
      </c>
      <c r="E1510" s="20">
        <v>2</v>
      </c>
      <c r="F1510" s="14">
        <v>0</v>
      </c>
      <c r="G1510" s="189"/>
      <c r="H1510" s="113">
        <f t="shared" si="133"/>
        <v>0</v>
      </c>
      <c r="I1510" s="190"/>
      <c r="K1510" s="115">
        <f>0.07*E1510</f>
        <v>0.14000000000000001</v>
      </c>
    </row>
    <row r="1511" spans="1:11" x14ac:dyDescent="0.25">
      <c r="A1511" s="10" t="s">
        <v>799</v>
      </c>
      <c r="B1511" s="233" t="s">
        <v>13</v>
      </c>
      <c r="C1511" s="70" t="s">
        <v>238</v>
      </c>
      <c r="D1511" s="20" t="s">
        <v>14</v>
      </c>
      <c r="E1511" s="71">
        <v>2</v>
      </c>
      <c r="F1511" s="14">
        <v>0</v>
      </c>
      <c r="G1511" s="189"/>
      <c r="H1511" s="113">
        <f t="shared" si="133"/>
        <v>0</v>
      </c>
      <c r="I1511" s="190"/>
      <c r="K1511" s="115">
        <f>0.1*E1511</f>
        <v>0.2</v>
      </c>
    </row>
    <row r="1512" spans="1:11" ht="42.75" x14ac:dyDescent="0.25">
      <c r="A1512" s="100" t="s">
        <v>246</v>
      </c>
      <c r="B1512" s="258" t="s">
        <v>9</v>
      </c>
      <c r="C1512" s="250" t="s">
        <v>153</v>
      </c>
      <c r="D1512" s="88" t="s">
        <v>54</v>
      </c>
      <c r="E1512" s="139">
        <v>47.49</v>
      </c>
      <c r="F1512" s="64"/>
      <c r="G1512" s="146">
        <v>0</v>
      </c>
      <c r="H1512" s="143"/>
      <c r="I1512" s="65">
        <f>E1512*G1512</f>
        <v>0</v>
      </c>
      <c r="K1512" s="115">
        <f>K1514+K1515+K1516</f>
        <v>47.49</v>
      </c>
    </row>
    <row r="1513" spans="1:11" x14ac:dyDescent="0.25">
      <c r="A1513" s="112" t="s">
        <v>73</v>
      </c>
      <c r="B1513" s="283" t="s">
        <v>13</v>
      </c>
      <c r="C1513" s="188" t="s">
        <v>165</v>
      </c>
      <c r="D1513" s="90" t="s">
        <v>38</v>
      </c>
      <c r="E1513" s="284">
        <f>0.606*E1512</f>
        <v>28.78</v>
      </c>
      <c r="F1513" s="63">
        <v>0</v>
      </c>
      <c r="G1513" s="101"/>
      <c r="H1513" s="126">
        <f>E1513*F1513</f>
        <v>0</v>
      </c>
      <c r="I1513" s="119"/>
    </row>
    <row r="1514" spans="1:11" ht="30" x14ac:dyDescent="0.25">
      <c r="A1514" s="10" t="s">
        <v>74</v>
      </c>
      <c r="B1514" s="229" t="s">
        <v>13</v>
      </c>
      <c r="C1514" s="70" t="s">
        <v>208</v>
      </c>
      <c r="D1514" s="20" t="s">
        <v>58</v>
      </c>
      <c r="E1514" s="12">
        <f>48.1+48.2+52.4</f>
        <v>148.69999999999999</v>
      </c>
      <c r="F1514" s="14">
        <v>0</v>
      </c>
      <c r="G1514" s="102"/>
      <c r="H1514" s="113">
        <f>E1514*F1514</f>
        <v>0</v>
      </c>
      <c r="I1514" s="15"/>
      <c r="K1514" s="115">
        <v>46.72</v>
      </c>
    </row>
    <row r="1515" spans="1:11" x14ac:dyDescent="0.25">
      <c r="A1515" s="112" t="s">
        <v>75</v>
      </c>
      <c r="B1515" s="233" t="s">
        <v>13</v>
      </c>
      <c r="C1515" s="70" t="s">
        <v>236</v>
      </c>
      <c r="D1515" s="20" t="s">
        <v>14</v>
      </c>
      <c r="E1515" s="20">
        <f>2+2+3</f>
        <v>7</v>
      </c>
      <c r="F1515" s="14">
        <v>0</v>
      </c>
      <c r="G1515" s="189"/>
      <c r="H1515" s="113">
        <f>E1515*F1515</f>
        <v>0</v>
      </c>
      <c r="I1515" s="190"/>
      <c r="K1515" s="115">
        <f>0.1*E1515</f>
        <v>0.7</v>
      </c>
    </row>
    <row r="1516" spans="1:11" x14ac:dyDescent="0.25">
      <c r="A1516" s="10" t="s">
        <v>833</v>
      </c>
      <c r="B1516" s="233" t="s">
        <v>13</v>
      </c>
      <c r="C1516" s="70" t="s">
        <v>757</v>
      </c>
      <c r="D1516" s="20" t="s">
        <v>14</v>
      </c>
      <c r="E1516" s="20">
        <v>1</v>
      </c>
      <c r="F1516" s="14">
        <v>0</v>
      </c>
      <c r="G1516" s="189"/>
      <c r="H1516" s="113">
        <f>E1516*F1516</f>
        <v>0</v>
      </c>
      <c r="I1516" s="190"/>
      <c r="K1516" s="115">
        <f>0.07*E1516</f>
        <v>7.0000000000000007E-2</v>
      </c>
    </row>
    <row r="1517" spans="1:11" x14ac:dyDescent="0.25">
      <c r="A1517" s="16" t="s">
        <v>76</v>
      </c>
      <c r="B1517" s="217" t="s">
        <v>9</v>
      </c>
      <c r="C1517" s="21" t="s">
        <v>240</v>
      </c>
      <c r="D1517" s="22" t="s">
        <v>14</v>
      </c>
      <c r="E1517" s="22">
        <v>3</v>
      </c>
      <c r="F1517" s="23"/>
      <c r="G1517" s="118">
        <v>0</v>
      </c>
      <c r="H1517" s="103"/>
      <c r="I1517" s="24">
        <f>E1517*G1517</f>
        <v>0</v>
      </c>
    </row>
    <row r="1518" spans="1:11" ht="30" x14ac:dyDescent="0.25">
      <c r="A1518" s="10" t="s">
        <v>77</v>
      </c>
      <c r="B1518" s="218" t="s">
        <v>13</v>
      </c>
      <c r="C1518" s="128" t="s">
        <v>241</v>
      </c>
      <c r="D1518" s="25" t="s">
        <v>14</v>
      </c>
      <c r="E1518" s="25">
        <v>3</v>
      </c>
      <c r="F1518" s="147">
        <v>0</v>
      </c>
      <c r="G1518" s="369"/>
      <c r="H1518" s="148">
        <f>E1518*F1518</f>
        <v>0</v>
      </c>
      <c r="I1518" s="15"/>
    </row>
    <row r="1519" spans="1:11" ht="28.5" x14ac:dyDescent="0.25">
      <c r="A1519" s="26" t="s">
        <v>78</v>
      </c>
      <c r="B1519" s="219" t="s">
        <v>9</v>
      </c>
      <c r="C1519" s="17" t="s">
        <v>243</v>
      </c>
      <c r="D1519" s="27" t="s">
        <v>14</v>
      </c>
      <c r="E1519" s="370">
        <v>3</v>
      </c>
      <c r="F1519" s="28"/>
      <c r="G1519" s="117">
        <v>0</v>
      </c>
      <c r="H1519" s="103"/>
      <c r="I1519" s="58">
        <f>E1519*G1519</f>
        <v>0</v>
      </c>
    </row>
    <row r="1520" spans="1:11" ht="30" x14ac:dyDescent="0.25">
      <c r="A1520" s="29" t="s">
        <v>79</v>
      </c>
      <c r="B1520" s="220" t="s">
        <v>13</v>
      </c>
      <c r="C1520" s="30" t="s">
        <v>337</v>
      </c>
      <c r="D1520" s="31" t="s">
        <v>14</v>
      </c>
      <c r="E1520" s="104">
        <v>3</v>
      </c>
      <c r="F1520" s="33">
        <v>0</v>
      </c>
      <c r="G1520" s="102"/>
      <c r="H1520" s="113">
        <f>E1520*F1520</f>
        <v>0</v>
      </c>
      <c r="I1520" s="15"/>
    </row>
    <row r="1521" spans="1:9" x14ac:dyDescent="0.25">
      <c r="A1521" s="18">
        <v>15</v>
      </c>
      <c r="B1521" s="221" t="s">
        <v>9</v>
      </c>
      <c r="C1521" s="17" t="s">
        <v>244</v>
      </c>
      <c r="D1521" s="19" t="s">
        <v>14</v>
      </c>
      <c r="E1521" s="18">
        <v>3</v>
      </c>
      <c r="F1521" s="28"/>
      <c r="G1521" s="117">
        <v>0</v>
      </c>
      <c r="H1521" s="103"/>
      <c r="I1521" s="58">
        <f>E1521*G1521</f>
        <v>0</v>
      </c>
    </row>
    <row r="1522" spans="1:9" x14ac:dyDescent="0.25">
      <c r="A1522" s="29" t="s">
        <v>81</v>
      </c>
      <c r="B1522" s="220" t="s">
        <v>13</v>
      </c>
      <c r="C1522" s="30" t="s">
        <v>245</v>
      </c>
      <c r="D1522" s="31" t="s">
        <v>14</v>
      </c>
      <c r="E1522" s="104">
        <v>3</v>
      </c>
      <c r="F1522" s="33">
        <v>0</v>
      </c>
      <c r="G1522" s="102"/>
      <c r="H1522" s="113">
        <f>E1522*F1522</f>
        <v>0</v>
      </c>
      <c r="I1522" s="15"/>
    </row>
    <row r="1523" spans="1:9" ht="28.5" x14ac:dyDescent="0.25">
      <c r="A1523" s="26" t="s">
        <v>86</v>
      </c>
      <c r="B1523" s="239" t="s">
        <v>9</v>
      </c>
      <c r="C1523" s="17" t="s">
        <v>137</v>
      </c>
      <c r="D1523" s="19" t="s">
        <v>14</v>
      </c>
      <c r="E1523" s="19">
        <v>2</v>
      </c>
      <c r="F1523" s="28"/>
      <c r="G1523" s="58">
        <v>0</v>
      </c>
      <c r="H1523" s="28"/>
      <c r="I1523" s="58">
        <f>E1523*G1523</f>
        <v>0</v>
      </c>
    </row>
    <row r="1524" spans="1:9" x14ac:dyDescent="0.25">
      <c r="A1524" s="29" t="s">
        <v>87</v>
      </c>
      <c r="B1524" s="205" t="s">
        <v>13</v>
      </c>
      <c r="C1524" s="11" t="s">
        <v>565</v>
      </c>
      <c r="D1524" s="20" t="s">
        <v>14</v>
      </c>
      <c r="E1524" s="20">
        <v>2</v>
      </c>
      <c r="F1524" s="33">
        <v>0</v>
      </c>
      <c r="G1524" s="58"/>
      <c r="H1524" s="186">
        <f t="shared" ref="H1524" si="134">E1524*F1524</f>
        <v>0</v>
      </c>
      <c r="I1524" s="58"/>
    </row>
    <row r="1525" spans="1:9" x14ac:dyDescent="0.25">
      <c r="A1525" s="16" t="s">
        <v>88</v>
      </c>
      <c r="B1525" s="296" t="s">
        <v>9</v>
      </c>
      <c r="C1525" s="17" t="s">
        <v>344</v>
      </c>
      <c r="D1525" s="19" t="s">
        <v>14</v>
      </c>
      <c r="E1525" s="18">
        <v>1</v>
      </c>
      <c r="F1525" s="28"/>
      <c r="G1525" s="117">
        <v>0</v>
      </c>
      <c r="H1525" s="103"/>
      <c r="I1525" s="58">
        <f>E1525*G1525</f>
        <v>0</v>
      </c>
    </row>
    <row r="1526" spans="1:9" x14ac:dyDescent="0.25">
      <c r="A1526" s="10" t="s">
        <v>89</v>
      </c>
      <c r="B1526" s="220" t="s">
        <v>13</v>
      </c>
      <c r="C1526" s="11" t="s">
        <v>345</v>
      </c>
      <c r="D1526" s="20" t="s">
        <v>14</v>
      </c>
      <c r="E1526" s="12">
        <v>1</v>
      </c>
      <c r="F1526" s="33">
        <v>0</v>
      </c>
      <c r="G1526" s="102"/>
      <c r="H1526" s="113">
        <f>E1526*F1526</f>
        <v>0</v>
      </c>
      <c r="I1526" s="15"/>
    </row>
    <row r="1527" spans="1:9" ht="28.5" x14ac:dyDescent="0.25">
      <c r="A1527" s="95" t="s">
        <v>92</v>
      </c>
      <c r="B1527" s="259" t="s">
        <v>9</v>
      </c>
      <c r="C1527" s="17" t="s">
        <v>211</v>
      </c>
      <c r="D1527" s="19" t="s">
        <v>54</v>
      </c>
      <c r="E1527" s="18">
        <f>16.8+16.8+18.3</f>
        <v>51.9</v>
      </c>
      <c r="F1527" s="28"/>
      <c r="G1527" s="117">
        <v>0</v>
      </c>
      <c r="H1527" s="103"/>
      <c r="I1527" s="58">
        <f>E1527*G1527</f>
        <v>0</v>
      </c>
    </row>
    <row r="1528" spans="1:9" x14ac:dyDescent="0.25">
      <c r="A1528" s="93" t="s">
        <v>93</v>
      </c>
      <c r="B1528" s="247" t="s">
        <v>13</v>
      </c>
      <c r="C1528" s="188" t="s">
        <v>209</v>
      </c>
      <c r="D1528" s="90" t="s">
        <v>54</v>
      </c>
      <c r="E1528" s="12">
        <f>1.1*E1527</f>
        <v>57.09</v>
      </c>
      <c r="F1528" s="33">
        <v>0</v>
      </c>
      <c r="G1528" s="102"/>
      <c r="H1528" s="113">
        <f>E1528*F1528</f>
        <v>0</v>
      </c>
      <c r="I1528" s="15"/>
    </row>
    <row r="1529" spans="1:9" x14ac:dyDescent="0.25">
      <c r="A1529" s="93" t="s">
        <v>94</v>
      </c>
      <c r="B1529" s="247" t="s">
        <v>13</v>
      </c>
      <c r="C1529" s="188" t="s">
        <v>266</v>
      </c>
      <c r="D1529" s="90" t="s">
        <v>38</v>
      </c>
      <c r="E1529" s="12">
        <f>0.7*E1527</f>
        <v>36.33</v>
      </c>
      <c r="F1529" s="33">
        <v>0</v>
      </c>
      <c r="G1529" s="102"/>
      <c r="H1529" s="113">
        <f>E1529*F1529</f>
        <v>0</v>
      </c>
      <c r="I1529" s="15"/>
    </row>
    <row r="1530" spans="1:9" ht="28.5" x14ac:dyDescent="0.25">
      <c r="A1530" s="87" t="s">
        <v>96</v>
      </c>
      <c r="B1530" s="222" t="s">
        <v>9</v>
      </c>
      <c r="C1530" s="149" t="s">
        <v>247</v>
      </c>
      <c r="D1530" s="139" t="s">
        <v>14</v>
      </c>
      <c r="E1530" s="139">
        <v>1</v>
      </c>
      <c r="F1530" s="150"/>
      <c r="G1530" s="146">
        <v>0</v>
      </c>
      <c r="H1530" s="143"/>
      <c r="I1530" s="65">
        <f>E1530*G1530</f>
        <v>0</v>
      </c>
    </row>
    <row r="1531" spans="1:9" ht="30" x14ac:dyDescent="0.25">
      <c r="A1531" s="89" t="s">
        <v>97</v>
      </c>
      <c r="B1531" s="223" t="s">
        <v>13</v>
      </c>
      <c r="C1531" s="137" t="s">
        <v>248</v>
      </c>
      <c r="D1531" s="125" t="s">
        <v>14</v>
      </c>
      <c r="E1531" s="125">
        <v>1</v>
      </c>
      <c r="F1531" s="62">
        <v>0</v>
      </c>
      <c r="G1531" s="101"/>
      <c r="H1531" s="126">
        <f>E1531*F1531</f>
        <v>0</v>
      </c>
      <c r="I1531" s="119"/>
    </row>
    <row r="1532" spans="1:9" x14ac:dyDescent="0.25">
      <c r="A1532" s="87" t="s">
        <v>99</v>
      </c>
      <c r="B1532" s="222" t="s">
        <v>9</v>
      </c>
      <c r="C1532" s="149" t="s">
        <v>10</v>
      </c>
      <c r="D1532" s="139" t="s">
        <v>14</v>
      </c>
      <c r="E1532" s="139">
        <v>3</v>
      </c>
      <c r="F1532" s="150"/>
      <c r="G1532" s="146">
        <v>0</v>
      </c>
      <c r="H1532" s="143"/>
      <c r="I1532" s="65">
        <f>E1532*G1532</f>
        <v>0</v>
      </c>
    </row>
    <row r="1533" spans="1:9" ht="30.75" thickBot="1" x14ac:dyDescent="0.3">
      <c r="A1533" s="151" t="s">
        <v>100</v>
      </c>
      <c r="B1533" s="224" t="s">
        <v>13</v>
      </c>
      <c r="C1533" s="152" t="s">
        <v>249</v>
      </c>
      <c r="D1533" s="105" t="s">
        <v>14</v>
      </c>
      <c r="E1533" s="105">
        <v>3</v>
      </c>
      <c r="F1533" s="153">
        <v>0</v>
      </c>
      <c r="G1533" s="154"/>
      <c r="H1533" s="155">
        <f>E1533*F1533</f>
        <v>0</v>
      </c>
      <c r="I1533" s="37"/>
    </row>
    <row r="1534" spans="1:9" ht="15.75" thickBot="1" x14ac:dyDescent="0.3">
      <c r="A1534" s="157"/>
      <c r="B1534" s="236"/>
      <c r="C1534" s="279" t="s">
        <v>417</v>
      </c>
      <c r="D1534" s="280"/>
      <c r="E1534" s="280"/>
      <c r="F1534" s="192"/>
      <c r="G1534" s="281"/>
      <c r="H1534" s="193">
        <f>SUM(H1506:H1533)</f>
        <v>0</v>
      </c>
      <c r="I1534" s="282">
        <f>SUM(I1505:I1533)</f>
        <v>0</v>
      </c>
    </row>
    <row r="1535" spans="1:9" x14ac:dyDescent="0.25">
      <c r="A1535" s="39"/>
      <c r="B1535" s="208"/>
      <c r="C1535" s="5" t="s">
        <v>423</v>
      </c>
      <c r="D1535" s="41"/>
      <c r="E1535" s="41"/>
      <c r="F1535" s="81"/>
      <c r="G1535" s="106"/>
      <c r="H1535" s="6">
        <f>H1478+H1488+H1503+H1534</f>
        <v>0</v>
      </c>
      <c r="I1535" s="42">
        <f>I1478+I1488+I1503+I1534</f>
        <v>0</v>
      </c>
    </row>
    <row r="1536" spans="1:9" ht="15.75" thickBot="1" x14ac:dyDescent="0.3">
      <c r="A1536" s="34"/>
      <c r="B1536" s="209"/>
      <c r="C1536" s="43" t="s">
        <v>758</v>
      </c>
      <c r="D1536" s="36"/>
      <c r="E1536" s="36"/>
      <c r="F1536" s="61"/>
      <c r="G1536" s="107"/>
      <c r="H1536" s="108"/>
      <c r="I1536" s="82">
        <f>H1535+I1535</f>
        <v>0</v>
      </c>
    </row>
    <row r="1537" spans="1:11" ht="15.75" thickBot="1" x14ac:dyDescent="0.3">
      <c r="A1537" s="140"/>
      <c r="B1537" s="163" t="s">
        <v>870</v>
      </c>
      <c r="C1537" s="156" t="s">
        <v>250</v>
      </c>
      <c r="D1537" s="49"/>
      <c r="E1537" s="49"/>
      <c r="F1537" s="132"/>
      <c r="G1537" s="109"/>
      <c r="H1537" s="144"/>
      <c r="I1537" s="52"/>
    </row>
    <row r="1538" spans="1:11" ht="15.75" thickBot="1" x14ac:dyDescent="0.3">
      <c r="A1538" s="164"/>
      <c r="B1538" s="225"/>
      <c r="C1538" s="165" t="s">
        <v>759</v>
      </c>
      <c r="D1538" s="166"/>
      <c r="E1538" s="166"/>
      <c r="F1538" s="167"/>
      <c r="G1538" s="168"/>
      <c r="H1538" s="169"/>
      <c r="I1538" s="170"/>
    </row>
    <row r="1539" spans="1:11" ht="47.25" x14ac:dyDescent="0.25">
      <c r="A1539" s="4">
        <v>1</v>
      </c>
      <c r="B1539" s="226" t="s">
        <v>9</v>
      </c>
      <c r="C1539" s="5" t="s">
        <v>25</v>
      </c>
      <c r="D1539" s="171" t="s">
        <v>11</v>
      </c>
      <c r="E1539" s="4">
        <v>1</v>
      </c>
      <c r="F1539" s="6"/>
      <c r="G1539" s="172">
        <v>0</v>
      </c>
      <c r="H1539" s="6"/>
      <c r="I1539" s="42">
        <f>E1539*G1539</f>
        <v>0</v>
      </c>
    </row>
    <row r="1540" spans="1:11" x14ac:dyDescent="0.25">
      <c r="A1540" s="10" t="s">
        <v>12</v>
      </c>
      <c r="B1540" s="211" t="s">
        <v>13</v>
      </c>
      <c r="C1540" s="70" t="s">
        <v>253</v>
      </c>
      <c r="D1540" s="12" t="s">
        <v>14</v>
      </c>
      <c r="E1540" s="12">
        <v>1</v>
      </c>
      <c r="F1540" s="14">
        <v>0</v>
      </c>
      <c r="G1540" s="102"/>
      <c r="H1540" s="113">
        <f>E1540*F1540</f>
        <v>0</v>
      </c>
      <c r="I1540" s="15"/>
    </row>
    <row r="1541" spans="1:11" x14ac:dyDescent="0.25">
      <c r="A1541" s="10" t="s">
        <v>15</v>
      </c>
      <c r="B1541" s="211" t="s">
        <v>13</v>
      </c>
      <c r="C1541" s="70" t="s">
        <v>254</v>
      </c>
      <c r="D1541" s="12" t="s">
        <v>14</v>
      </c>
      <c r="E1541" s="12">
        <v>1</v>
      </c>
      <c r="F1541" s="14">
        <v>0</v>
      </c>
      <c r="G1541" s="102"/>
      <c r="H1541" s="113">
        <f>E1541*F1541</f>
        <v>0</v>
      </c>
      <c r="I1541" s="15"/>
    </row>
    <row r="1542" spans="1:11" ht="28.5" x14ac:dyDescent="0.25">
      <c r="A1542" s="16" t="s">
        <v>473</v>
      </c>
      <c r="B1542" s="212" t="s">
        <v>9</v>
      </c>
      <c r="C1542" s="295" t="s">
        <v>803</v>
      </c>
      <c r="D1542" s="18" t="s">
        <v>472</v>
      </c>
      <c r="E1542" s="18">
        <v>5</v>
      </c>
      <c r="F1542" s="13"/>
      <c r="G1542" s="117">
        <v>0</v>
      </c>
      <c r="H1542" s="103"/>
      <c r="I1542" s="58">
        <f>E1542*G1542</f>
        <v>0</v>
      </c>
    </row>
    <row r="1543" spans="1:11" ht="42.75" x14ac:dyDescent="0.25">
      <c r="A1543" s="16" t="s">
        <v>16</v>
      </c>
      <c r="B1543" s="215" t="s">
        <v>9</v>
      </c>
      <c r="C1543" s="295" t="s">
        <v>255</v>
      </c>
      <c r="D1543" s="18" t="s">
        <v>54</v>
      </c>
      <c r="E1543" s="18">
        <f>4.02+2*1.92</f>
        <v>7.86</v>
      </c>
      <c r="F1543" s="13"/>
      <c r="G1543" s="117">
        <v>0</v>
      </c>
      <c r="H1543" s="103"/>
      <c r="I1543" s="58">
        <f>E1543*G1543</f>
        <v>0</v>
      </c>
    </row>
    <row r="1544" spans="1:11" x14ac:dyDescent="0.25">
      <c r="A1544" s="10" t="s">
        <v>17</v>
      </c>
      <c r="B1544" s="227" t="s">
        <v>13</v>
      </c>
      <c r="C1544" s="70" t="s">
        <v>165</v>
      </c>
      <c r="D1544" s="12" t="s">
        <v>38</v>
      </c>
      <c r="E1544" s="78">
        <f>2.55*E1543</f>
        <v>20.04</v>
      </c>
      <c r="F1544" s="14">
        <v>0</v>
      </c>
      <c r="G1544" s="102"/>
      <c r="H1544" s="113">
        <f>E1544*F1544</f>
        <v>0</v>
      </c>
      <c r="I1544" s="15"/>
    </row>
    <row r="1545" spans="1:11" ht="30" x14ac:dyDescent="0.25">
      <c r="A1545" s="10" t="s">
        <v>18</v>
      </c>
      <c r="B1545" s="211" t="s">
        <v>13</v>
      </c>
      <c r="C1545" s="70" t="s">
        <v>256</v>
      </c>
      <c r="D1545" s="12" t="s">
        <v>58</v>
      </c>
      <c r="E1545" s="12">
        <v>1.7</v>
      </c>
      <c r="F1545" s="14">
        <v>0</v>
      </c>
      <c r="G1545" s="102"/>
      <c r="H1545" s="113">
        <f>E1545*F1545</f>
        <v>0</v>
      </c>
      <c r="I1545" s="15"/>
      <c r="K1545" s="115">
        <v>4.2699999999999996</v>
      </c>
    </row>
    <row r="1546" spans="1:11" x14ac:dyDescent="0.25">
      <c r="A1546" s="10" t="s">
        <v>47</v>
      </c>
      <c r="B1546" s="211" t="s">
        <v>13</v>
      </c>
      <c r="C1546" s="70" t="s">
        <v>257</v>
      </c>
      <c r="D1546" s="12" t="s">
        <v>14</v>
      </c>
      <c r="E1546" s="12">
        <v>2</v>
      </c>
      <c r="F1546" s="14">
        <v>0</v>
      </c>
      <c r="G1546" s="102"/>
      <c r="H1546" s="113">
        <f>E1546*F1546</f>
        <v>0</v>
      </c>
      <c r="I1546" s="15"/>
      <c r="K1546" s="115">
        <f>1.91*E1546</f>
        <v>3.82</v>
      </c>
    </row>
    <row r="1547" spans="1:11" x14ac:dyDescent="0.25">
      <c r="A1547" s="10" t="s">
        <v>49</v>
      </c>
      <c r="B1547" s="211" t="s">
        <v>13</v>
      </c>
      <c r="C1547" s="70" t="s">
        <v>258</v>
      </c>
      <c r="D1547" s="12" t="s">
        <v>54</v>
      </c>
      <c r="E1547" s="12">
        <v>0.5</v>
      </c>
      <c r="F1547" s="14">
        <v>0</v>
      </c>
      <c r="G1547" s="102"/>
      <c r="H1547" s="113">
        <f t="shared" ref="H1547:H1548" si="135">E1547*F1547</f>
        <v>0</v>
      </c>
      <c r="I1547" s="15"/>
    </row>
    <row r="1548" spans="1:11" x14ac:dyDescent="0.25">
      <c r="A1548" s="10" t="s">
        <v>50</v>
      </c>
      <c r="B1548" s="211" t="s">
        <v>13</v>
      </c>
      <c r="C1548" s="70" t="s">
        <v>259</v>
      </c>
      <c r="D1548" s="12" t="s">
        <v>14</v>
      </c>
      <c r="E1548" s="12">
        <v>1</v>
      </c>
      <c r="F1548" s="14">
        <v>0</v>
      </c>
      <c r="G1548" s="102"/>
      <c r="H1548" s="113">
        <f t="shared" si="135"/>
        <v>0</v>
      </c>
      <c r="I1548" s="15"/>
    </row>
    <row r="1549" spans="1:11" ht="28.5" x14ac:dyDescent="0.25">
      <c r="A1549" s="16" t="s">
        <v>19</v>
      </c>
      <c r="B1549" s="215" t="s">
        <v>9</v>
      </c>
      <c r="C1549" s="17" t="s">
        <v>261</v>
      </c>
      <c r="D1549" s="18" t="s">
        <v>14</v>
      </c>
      <c r="E1549" s="18">
        <v>2</v>
      </c>
      <c r="F1549" s="13"/>
      <c r="G1549" s="117">
        <v>0</v>
      </c>
      <c r="H1549" s="103"/>
      <c r="I1549" s="58">
        <f>E1549*G1549</f>
        <v>0</v>
      </c>
    </row>
    <row r="1550" spans="1:11" ht="30" x14ac:dyDescent="0.25">
      <c r="A1550" s="10" t="s">
        <v>21</v>
      </c>
      <c r="B1550" s="211" t="s">
        <v>13</v>
      </c>
      <c r="C1550" s="11" t="s">
        <v>260</v>
      </c>
      <c r="D1550" s="12" t="s">
        <v>14</v>
      </c>
      <c r="E1550" s="12">
        <v>1</v>
      </c>
      <c r="F1550" s="14">
        <v>0</v>
      </c>
      <c r="G1550" s="102"/>
      <c r="H1550" s="113">
        <f>E1550*F1550</f>
        <v>0</v>
      </c>
      <c r="I1550" s="15"/>
    </row>
    <row r="1551" spans="1:11" ht="30" x14ac:dyDescent="0.25">
      <c r="A1551" s="10" t="s">
        <v>22</v>
      </c>
      <c r="B1551" s="211" t="s">
        <v>13</v>
      </c>
      <c r="C1551" s="11" t="s">
        <v>566</v>
      </c>
      <c r="D1551" s="12" t="s">
        <v>14</v>
      </c>
      <c r="E1551" s="12">
        <v>1</v>
      </c>
      <c r="F1551" s="14">
        <v>0</v>
      </c>
      <c r="G1551" s="102"/>
      <c r="H1551" s="113">
        <f>E1551*F1551</f>
        <v>0</v>
      </c>
      <c r="I1551" s="15"/>
    </row>
    <row r="1552" spans="1:11" ht="28.5" x14ac:dyDescent="0.25">
      <c r="A1552" s="16" t="s">
        <v>23</v>
      </c>
      <c r="B1552" s="215" t="s">
        <v>9</v>
      </c>
      <c r="C1552" s="17" t="s">
        <v>263</v>
      </c>
      <c r="D1552" s="19" t="s">
        <v>54</v>
      </c>
      <c r="E1552" s="18">
        <v>12.7</v>
      </c>
      <c r="F1552" s="13"/>
      <c r="G1552" s="117">
        <v>0</v>
      </c>
      <c r="H1552" s="103"/>
      <c r="I1552" s="58">
        <f>E1552*G1552</f>
        <v>0</v>
      </c>
    </row>
    <row r="1553" spans="1:11" x14ac:dyDescent="0.25">
      <c r="A1553" s="10" t="s">
        <v>24</v>
      </c>
      <c r="B1553" s="211" t="s">
        <v>13</v>
      </c>
      <c r="C1553" s="188" t="s">
        <v>264</v>
      </c>
      <c r="D1553" s="90" t="s">
        <v>54</v>
      </c>
      <c r="E1553" s="12">
        <f>1.1*E1552</f>
        <v>13.97</v>
      </c>
      <c r="F1553" s="14">
        <v>0</v>
      </c>
      <c r="G1553" s="102"/>
      <c r="H1553" s="113">
        <f>E1553*F1553</f>
        <v>0</v>
      </c>
      <c r="I1553" s="15"/>
    </row>
    <row r="1554" spans="1:11" ht="15.75" thickBot="1" x14ac:dyDescent="0.3">
      <c r="A1554" s="54" t="s">
        <v>60</v>
      </c>
      <c r="B1554" s="372" t="s">
        <v>13</v>
      </c>
      <c r="C1554" s="91" t="s">
        <v>265</v>
      </c>
      <c r="D1554" s="92" t="s">
        <v>38</v>
      </c>
      <c r="E1554" s="141">
        <f>2.8*E1552</f>
        <v>35.56</v>
      </c>
      <c r="F1554" s="142">
        <v>0</v>
      </c>
      <c r="G1554" s="114"/>
      <c r="H1554" s="120">
        <f>E1554*F1554</f>
        <v>0</v>
      </c>
      <c r="I1554" s="127"/>
    </row>
    <row r="1555" spans="1:11" ht="15.75" thickBot="1" x14ac:dyDescent="0.3">
      <c r="A1555" s="45"/>
      <c r="B1555" s="371"/>
      <c r="C1555" s="191"/>
      <c r="D1555" s="48"/>
      <c r="E1555" s="49"/>
      <c r="F1555" s="51"/>
      <c r="G1555" s="109"/>
      <c r="H1555" s="121">
        <f>SUM(H1540:H1554)</f>
        <v>0</v>
      </c>
      <c r="I1555" s="86">
        <f>SUM(I1539:I1554)</f>
        <v>0</v>
      </c>
    </row>
    <row r="1556" spans="1:11" ht="15.75" thickBot="1" x14ac:dyDescent="0.3">
      <c r="A1556" s="49"/>
      <c r="B1556" s="371"/>
      <c r="C1556" s="47" t="s">
        <v>760</v>
      </c>
      <c r="D1556" s="48"/>
      <c r="E1556" s="49"/>
      <c r="F1556" s="51"/>
      <c r="G1556" s="109"/>
      <c r="H1556" s="144"/>
      <c r="I1556" s="52"/>
    </row>
    <row r="1557" spans="1:11" ht="47.25" x14ac:dyDescent="0.25">
      <c r="A1557" s="173" t="s">
        <v>51</v>
      </c>
      <c r="B1557" s="226" t="s">
        <v>9</v>
      </c>
      <c r="C1557" s="5" t="s">
        <v>25</v>
      </c>
      <c r="D1557" s="171" t="s">
        <v>11</v>
      </c>
      <c r="E1557" s="4">
        <v>1</v>
      </c>
      <c r="F1557" s="6"/>
      <c r="G1557" s="172">
        <v>0</v>
      </c>
      <c r="H1557" s="6"/>
      <c r="I1557" s="42">
        <f>E1557*G1557</f>
        <v>0</v>
      </c>
    </row>
    <row r="1558" spans="1:11" ht="30" x14ac:dyDescent="0.25">
      <c r="A1558" s="10" t="s">
        <v>26</v>
      </c>
      <c r="B1558" s="211" t="s">
        <v>13</v>
      </c>
      <c r="C1558" s="277" t="s">
        <v>268</v>
      </c>
      <c r="D1558" s="12" t="s">
        <v>14</v>
      </c>
      <c r="E1558" s="12">
        <v>1</v>
      </c>
      <c r="F1558" s="14">
        <v>0</v>
      </c>
      <c r="G1558" s="102"/>
      <c r="H1558" s="113">
        <f>E1558*F1558</f>
        <v>0</v>
      </c>
      <c r="I1558" s="15"/>
    </row>
    <row r="1559" spans="1:11" x14ac:dyDescent="0.25">
      <c r="A1559" s="10" t="s">
        <v>27</v>
      </c>
      <c r="B1559" s="211" t="s">
        <v>13</v>
      </c>
      <c r="C1559" s="70" t="s">
        <v>269</v>
      </c>
      <c r="D1559" s="12" t="s">
        <v>14</v>
      </c>
      <c r="E1559" s="12">
        <v>1</v>
      </c>
      <c r="F1559" s="14">
        <v>0</v>
      </c>
      <c r="G1559" s="102"/>
      <c r="H1559" s="113">
        <f>E1559*F1559</f>
        <v>0</v>
      </c>
      <c r="I1559" s="15"/>
    </row>
    <row r="1560" spans="1:11" ht="28.5" x14ac:dyDescent="0.25">
      <c r="A1560" s="16" t="s">
        <v>474</v>
      </c>
      <c r="B1560" s="294" t="s">
        <v>9</v>
      </c>
      <c r="C1560" s="295" t="s">
        <v>803</v>
      </c>
      <c r="D1560" s="19" t="s">
        <v>472</v>
      </c>
      <c r="E1560" s="19">
        <v>5</v>
      </c>
      <c r="F1560" s="13"/>
      <c r="G1560" s="117">
        <v>0</v>
      </c>
      <c r="H1560" s="103"/>
      <c r="I1560" s="58">
        <f>E1560*G1560</f>
        <v>0</v>
      </c>
    </row>
    <row r="1561" spans="1:11" ht="42.75" x14ac:dyDescent="0.25">
      <c r="A1561" s="16" t="s">
        <v>29</v>
      </c>
      <c r="B1561" s="228" t="s">
        <v>9</v>
      </c>
      <c r="C1561" s="295" t="s">
        <v>255</v>
      </c>
      <c r="D1561" s="19" t="s">
        <v>54</v>
      </c>
      <c r="E1561" s="19">
        <v>8.19</v>
      </c>
      <c r="F1561" s="13"/>
      <c r="G1561" s="117">
        <v>0</v>
      </c>
      <c r="H1561" s="103"/>
      <c r="I1561" s="58">
        <f>E1561*G1561</f>
        <v>0</v>
      </c>
      <c r="K1561" s="115">
        <f>K1563+K1564+K1567</f>
        <v>8.19</v>
      </c>
    </row>
    <row r="1562" spans="1:11" x14ac:dyDescent="0.25">
      <c r="A1562" s="10" t="s">
        <v>31</v>
      </c>
      <c r="B1562" s="227" t="s">
        <v>13</v>
      </c>
      <c r="C1562" s="70" t="s">
        <v>165</v>
      </c>
      <c r="D1562" s="12" t="s">
        <v>38</v>
      </c>
      <c r="E1562" s="78">
        <f>2.55*E1561</f>
        <v>20.88</v>
      </c>
      <c r="F1562" s="14">
        <v>0</v>
      </c>
      <c r="G1562" s="102"/>
      <c r="H1562" s="113">
        <f>E1562*F1562</f>
        <v>0</v>
      </c>
      <c r="I1562" s="15"/>
    </row>
    <row r="1563" spans="1:11" ht="30" x14ac:dyDescent="0.25">
      <c r="A1563" s="10" t="s">
        <v>63</v>
      </c>
      <c r="B1563" s="211" t="s">
        <v>13</v>
      </c>
      <c r="C1563" s="70" t="s">
        <v>270</v>
      </c>
      <c r="D1563" s="12" t="s">
        <v>58</v>
      </c>
      <c r="E1563" s="12">
        <v>2.2000000000000002</v>
      </c>
      <c r="F1563" s="14">
        <v>0</v>
      </c>
      <c r="G1563" s="102"/>
      <c r="H1563" s="113">
        <f>E1563*F1563</f>
        <v>0</v>
      </c>
      <c r="I1563" s="15"/>
      <c r="K1563" s="115">
        <v>4.91</v>
      </c>
    </row>
    <row r="1564" spans="1:11" x14ac:dyDescent="0.25">
      <c r="A1564" s="10" t="s">
        <v>64</v>
      </c>
      <c r="B1564" s="211" t="s">
        <v>13</v>
      </c>
      <c r="C1564" s="70" t="s">
        <v>272</v>
      </c>
      <c r="D1564" s="12" t="s">
        <v>14</v>
      </c>
      <c r="E1564" s="12">
        <v>2</v>
      </c>
      <c r="F1564" s="14">
        <v>0</v>
      </c>
      <c r="G1564" s="102"/>
      <c r="H1564" s="113">
        <f>E1564*F1564</f>
        <v>0</v>
      </c>
      <c r="I1564" s="15"/>
      <c r="K1564" s="115">
        <f>1.53*E1564</f>
        <v>3.06</v>
      </c>
    </row>
    <row r="1565" spans="1:11" x14ac:dyDescent="0.25">
      <c r="A1565" s="10" t="s">
        <v>65</v>
      </c>
      <c r="B1565" s="211" t="s">
        <v>13</v>
      </c>
      <c r="C1565" s="70" t="s">
        <v>258</v>
      </c>
      <c r="D1565" s="12" t="s">
        <v>54</v>
      </c>
      <c r="E1565" s="12">
        <v>0.4</v>
      </c>
      <c r="F1565" s="14">
        <v>0</v>
      </c>
      <c r="G1565" s="102"/>
      <c r="H1565" s="113">
        <f t="shared" ref="H1565:H1567" si="136">E1565*F1565</f>
        <v>0</v>
      </c>
      <c r="I1565" s="15"/>
    </row>
    <row r="1566" spans="1:11" x14ac:dyDescent="0.25">
      <c r="A1566" s="10" t="s">
        <v>66</v>
      </c>
      <c r="B1566" s="211" t="s">
        <v>13</v>
      </c>
      <c r="C1566" s="70" t="s">
        <v>271</v>
      </c>
      <c r="D1566" s="12" t="s">
        <v>14</v>
      </c>
      <c r="E1566" s="12">
        <v>1</v>
      </c>
      <c r="F1566" s="14">
        <v>0</v>
      </c>
      <c r="G1566" s="102"/>
      <c r="H1566" s="113">
        <f t="shared" si="136"/>
        <v>0</v>
      </c>
      <c r="I1566" s="15"/>
    </row>
    <row r="1567" spans="1:11" x14ac:dyDescent="0.25">
      <c r="A1567" s="10" t="s">
        <v>384</v>
      </c>
      <c r="B1567" s="229" t="s">
        <v>13</v>
      </c>
      <c r="C1567" s="70" t="s">
        <v>273</v>
      </c>
      <c r="D1567" s="20" t="s">
        <v>14</v>
      </c>
      <c r="E1567" s="20">
        <v>1</v>
      </c>
      <c r="F1567" s="14">
        <v>0</v>
      </c>
      <c r="G1567" s="102"/>
      <c r="H1567" s="113">
        <f t="shared" si="136"/>
        <v>0</v>
      </c>
      <c r="I1567" s="15"/>
      <c r="K1567" s="115">
        <f>0.22*E1567</f>
        <v>0.22</v>
      </c>
    </row>
    <row r="1568" spans="1:11" ht="28.5" x14ac:dyDescent="0.25">
      <c r="A1568" s="16" t="s">
        <v>32</v>
      </c>
      <c r="B1568" s="228" t="s">
        <v>9</v>
      </c>
      <c r="C1568" s="17" t="s">
        <v>211</v>
      </c>
      <c r="D1568" s="19" t="s">
        <v>54</v>
      </c>
      <c r="E1568" s="18">
        <v>12.6</v>
      </c>
      <c r="F1568" s="28"/>
      <c r="G1568" s="117">
        <v>0</v>
      </c>
      <c r="H1568" s="103"/>
      <c r="I1568" s="58">
        <f>E1568*G1568</f>
        <v>0</v>
      </c>
    </row>
    <row r="1569" spans="1:11" x14ac:dyDescent="0.25">
      <c r="A1569" s="10" t="s">
        <v>33</v>
      </c>
      <c r="B1569" s="229" t="s">
        <v>13</v>
      </c>
      <c r="C1569" s="188" t="s">
        <v>209</v>
      </c>
      <c r="D1569" s="90" t="s">
        <v>54</v>
      </c>
      <c r="E1569" s="12">
        <f>1.1*E1568</f>
        <v>13.86</v>
      </c>
      <c r="F1569" s="33">
        <v>0</v>
      </c>
      <c r="G1569" s="102"/>
      <c r="H1569" s="113">
        <f>E1569*F1569</f>
        <v>0</v>
      </c>
      <c r="I1569" s="15"/>
    </row>
    <row r="1570" spans="1:11" x14ac:dyDescent="0.25">
      <c r="A1570" s="10" t="s">
        <v>34</v>
      </c>
      <c r="B1570" s="229" t="s">
        <v>13</v>
      </c>
      <c r="C1570" s="188" t="s">
        <v>266</v>
      </c>
      <c r="D1570" s="90" t="s">
        <v>38</v>
      </c>
      <c r="E1570" s="12">
        <f>0.7*E1568</f>
        <v>8.82</v>
      </c>
      <c r="F1570" s="33">
        <v>0</v>
      </c>
      <c r="G1570" s="102"/>
      <c r="H1570" s="113">
        <f>E1570*F1570</f>
        <v>0</v>
      </c>
      <c r="I1570" s="15"/>
    </row>
    <row r="1571" spans="1:11" ht="28.5" x14ac:dyDescent="0.25">
      <c r="A1571" s="16" t="s">
        <v>36</v>
      </c>
      <c r="B1571" s="217" t="s">
        <v>9</v>
      </c>
      <c r="C1571" s="17" t="s">
        <v>261</v>
      </c>
      <c r="D1571" s="18" t="s">
        <v>14</v>
      </c>
      <c r="E1571" s="18">
        <v>2</v>
      </c>
      <c r="F1571" s="13"/>
      <c r="G1571" s="117">
        <v>0</v>
      </c>
      <c r="H1571" s="103"/>
      <c r="I1571" s="58">
        <f>E1571*G1571</f>
        <v>0</v>
      </c>
    </row>
    <row r="1572" spans="1:11" ht="30" x14ac:dyDescent="0.25">
      <c r="A1572" s="10" t="s">
        <v>37</v>
      </c>
      <c r="B1572" s="229" t="s">
        <v>13</v>
      </c>
      <c r="C1572" s="11" t="s">
        <v>274</v>
      </c>
      <c r="D1572" s="12" t="s">
        <v>14</v>
      </c>
      <c r="E1572" s="12">
        <v>1</v>
      </c>
      <c r="F1572" s="14">
        <v>0</v>
      </c>
      <c r="G1572" s="102"/>
      <c r="H1572" s="113">
        <f>E1572*F1572</f>
        <v>0</v>
      </c>
      <c r="I1572" s="15"/>
    </row>
    <row r="1573" spans="1:11" ht="30.75" thickBot="1" x14ac:dyDescent="0.3">
      <c r="A1573" s="54" t="s">
        <v>233</v>
      </c>
      <c r="B1573" s="230" t="s">
        <v>13</v>
      </c>
      <c r="C1573" s="55" t="s">
        <v>275</v>
      </c>
      <c r="D1573" s="141" t="s">
        <v>14</v>
      </c>
      <c r="E1573" s="141">
        <v>1</v>
      </c>
      <c r="F1573" s="142">
        <v>0</v>
      </c>
      <c r="G1573" s="114"/>
      <c r="H1573" s="120">
        <f>E1573*F1573</f>
        <v>0</v>
      </c>
      <c r="I1573" s="127"/>
    </row>
    <row r="1574" spans="1:11" ht="15.75" thickBot="1" x14ac:dyDescent="0.3">
      <c r="A1574" s="45"/>
      <c r="B1574" s="231"/>
      <c r="C1574" s="268" t="s">
        <v>417</v>
      </c>
      <c r="D1574" s="48"/>
      <c r="E1574" s="49"/>
      <c r="F1574" s="132"/>
      <c r="G1574" s="109"/>
      <c r="H1574" s="121">
        <f>SUM(H1557:H1573)</f>
        <v>0</v>
      </c>
      <c r="I1574" s="86">
        <f>SUM(I1557:I1573)</f>
        <v>0</v>
      </c>
    </row>
    <row r="1575" spans="1:11" ht="15.75" thickBot="1" x14ac:dyDescent="0.3">
      <c r="A1575" s="45"/>
      <c r="B1575" s="231"/>
      <c r="C1575" s="47" t="s">
        <v>761</v>
      </c>
      <c r="D1575" s="48"/>
      <c r="E1575" s="49"/>
      <c r="F1575" s="132"/>
      <c r="G1575" s="109"/>
      <c r="H1575" s="144"/>
      <c r="I1575" s="52"/>
    </row>
    <row r="1576" spans="1:11" ht="47.25" x14ac:dyDescent="0.25">
      <c r="A1576" s="4">
        <v>9</v>
      </c>
      <c r="B1576" s="226" t="s">
        <v>9</v>
      </c>
      <c r="C1576" s="5" t="s">
        <v>277</v>
      </c>
      <c r="D1576" s="171" t="s">
        <v>11</v>
      </c>
      <c r="E1576" s="4">
        <v>1</v>
      </c>
      <c r="F1576" s="6"/>
      <c r="G1576" s="172">
        <v>0</v>
      </c>
      <c r="H1576" s="6"/>
      <c r="I1576" s="42">
        <f>E1576*G1576</f>
        <v>0</v>
      </c>
    </row>
    <row r="1577" spans="1:11" ht="30" x14ac:dyDescent="0.25">
      <c r="A1577" s="10" t="s">
        <v>40</v>
      </c>
      <c r="B1577" s="211" t="s">
        <v>13</v>
      </c>
      <c r="C1577" s="70" t="s">
        <v>278</v>
      </c>
      <c r="D1577" s="12" t="s">
        <v>14</v>
      </c>
      <c r="E1577" s="12">
        <v>1</v>
      </c>
      <c r="F1577" s="14">
        <v>0</v>
      </c>
      <c r="G1577" s="102"/>
      <c r="H1577" s="113">
        <f>E1577*F1577</f>
        <v>0</v>
      </c>
      <c r="I1577" s="15"/>
    </row>
    <row r="1578" spans="1:11" x14ac:dyDescent="0.25">
      <c r="A1578" s="10" t="s">
        <v>41</v>
      </c>
      <c r="B1578" s="211" t="s">
        <v>13</v>
      </c>
      <c r="C1578" s="70" t="s">
        <v>279</v>
      </c>
      <c r="D1578" s="12" t="s">
        <v>14</v>
      </c>
      <c r="E1578" s="12">
        <v>1</v>
      </c>
      <c r="F1578" s="14">
        <v>0</v>
      </c>
      <c r="G1578" s="102"/>
      <c r="H1578" s="113">
        <f>E1578*F1578</f>
        <v>0</v>
      </c>
      <c r="I1578" s="15"/>
    </row>
    <row r="1579" spans="1:11" ht="28.5" x14ac:dyDescent="0.25">
      <c r="A1579" s="16" t="s">
        <v>475</v>
      </c>
      <c r="B1579" s="212" t="s">
        <v>9</v>
      </c>
      <c r="C1579" s="295" t="s">
        <v>803</v>
      </c>
      <c r="D1579" s="18" t="s">
        <v>472</v>
      </c>
      <c r="E1579" s="18">
        <v>5</v>
      </c>
      <c r="F1579" s="13"/>
      <c r="G1579" s="117">
        <v>0</v>
      </c>
      <c r="H1579" s="103"/>
      <c r="I1579" s="58">
        <f>E1579*G1579</f>
        <v>0</v>
      </c>
    </row>
    <row r="1580" spans="1:11" ht="28.5" x14ac:dyDescent="0.25">
      <c r="A1580" s="16" t="s">
        <v>242</v>
      </c>
      <c r="B1580" s="215" t="s">
        <v>9</v>
      </c>
      <c r="C1580" s="295" t="s">
        <v>280</v>
      </c>
      <c r="D1580" s="18" t="s">
        <v>14</v>
      </c>
      <c r="E1580" s="18">
        <v>1</v>
      </c>
      <c r="F1580" s="13"/>
      <c r="G1580" s="117">
        <v>0</v>
      </c>
      <c r="H1580" s="103"/>
      <c r="I1580" s="58">
        <f>E1580*G1580</f>
        <v>0</v>
      </c>
    </row>
    <row r="1581" spans="1:11" x14ac:dyDescent="0.25">
      <c r="A1581" s="10" t="s">
        <v>42</v>
      </c>
      <c r="B1581" s="211" t="s">
        <v>13</v>
      </c>
      <c r="C1581" s="70" t="s">
        <v>281</v>
      </c>
      <c r="D1581" s="12" t="s">
        <v>14</v>
      </c>
      <c r="E1581" s="12">
        <v>1</v>
      </c>
      <c r="F1581" s="14">
        <v>0</v>
      </c>
      <c r="G1581" s="102"/>
      <c r="H1581" s="113">
        <f>E1581*F1581</f>
        <v>0</v>
      </c>
      <c r="I1581" s="15"/>
    </row>
    <row r="1582" spans="1:11" ht="28.5" x14ac:dyDescent="0.25">
      <c r="A1582" s="26" t="s">
        <v>69</v>
      </c>
      <c r="B1582" s="212" t="s">
        <v>9</v>
      </c>
      <c r="C1582" s="295" t="s">
        <v>52</v>
      </c>
      <c r="D1582" s="18" t="s">
        <v>14</v>
      </c>
      <c r="E1582" s="18">
        <v>17</v>
      </c>
      <c r="F1582" s="13"/>
      <c r="G1582" s="117">
        <v>0</v>
      </c>
      <c r="H1582" s="103"/>
      <c r="I1582" s="58">
        <f>E1582*G1582</f>
        <v>0</v>
      </c>
    </row>
    <row r="1583" spans="1:11" ht="30" x14ac:dyDescent="0.25">
      <c r="A1583" s="10" t="s">
        <v>70</v>
      </c>
      <c r="B1583" s="211" t="s">
        <v>13</v>
      </c>
      <c r="C1583" s="70" t="s">
        <v>282</v>
      </c>
      <c r="D1583" s="12" t="s">
        <v>14</v>
      </c>
      <c r="E1583" s="12">
        <v>17</v>
      </c>
      <c r="F1583" s="14">
        <v>0</v>
      </c>
      <c r="G1583" s="102"/>
      <c r="H1583" s="113">
        <f>E1583*F1583</f>
        <v>0</v>
      </c>
      <c r="I1583" s="15"/>
    </row>
    <row r="1584" spans="1:11" ht="42.75" x14ac:dyDescent="0.25">
      <c r="A1584" s="16" t="s">
        <v>246</v>
      </c>
      <c r="B1584" s="215" t="s">
        <v>9</v>
      </c>
      <c r="C1584" s="17" t="s">
        <v>285</v>
      </c>
      <c r="D1584" s="18" t="s">
        <v>54</v>
      </c>
      <c r="E1584" s="373">
        <v>162.85</v>
      </c>
      <c r="F1584" s="13"/>
      <c r="G1584" s="117">
        <v>0</v>
      </c>
      <c r="H1584" s="103"/>
      <c r="I1584" s="58">
        <f>E1584*G1584</f>
        <v>0</v>
      </c>
      <c r="K1584" s="115">
        <f>K1586+K1587+K1588+K1589+K1590+K1591+K1592</f>
        <v>162.85</v>
      </c>
    </row>
    <row r="1585" spans="1:11" x14ac:dyDescent="0.25">
      <c r="A1585" s="10" t="s">
        <v>73</v>
      </c>
      <c r="B1585" s="211" t="s">
        <v>13</v>
      </c>
      <c r="C1585" s="11" t="s">
        <v>165</v>
      </c>
      <c r="D1585" s="12" t="s">
        <v>38</v>
      </c>
      <c r="E1585" s="78">
        <f>2.25*E1584</f>
        <v>366.41</v>
      </c>
      <c r="F1585" s="14">
        <v>0</v>
      </c>
      <c r="G1585" s="102"/>
      <c r="H1585" s="113">
        <f t="shared" ref="H1585:H1588" si="137">E1585*F1585</f>
        <v>0</v>
      </c>
      <c r="I1585" s="15"/>
    </row>
    <row r="1586" spans="1:11" ht="30" x14ac:dyDescent="0.25">
      <c r="A1586" s="10" t="s">
        <v>74</v>
      </c>
      <c r="B1586" s="211" t="s">
        <v>13</v>
      </c>
      <c r="C1586" s="11" t="s">
        <v>762</v>
      </c>
      <c r="D1586" s="12" t="s">
        <v>58</v>
      </c>
      <c r="E1586" s="12">
        <v>1.9</v>
      </c>
      <c r="F1586" s="14">
        <v>0</v>
      </c>
      <c r="G1586" s="102"/>
      <c r="H1586" s="113">
        <f t="shared" si="137"/>
        <v>0</v>
      </c>
      <c r="I1586" s="15"/>
      <c r="K1586" s="115">
        <f>2.3*E1586</f>
        <v>4.37</v>
      </c>
    </row>
    <row r="1587" spans="1:11" ht="30" x14ac:dyDescent="0.25">
      <c r="A1587" s="10" t="s">
        <v>75</v>
      </c>
      <c r="B1587" s="211" t="s">
        <v>13</v>
      </c>
      <c r="C1587" s="11" t="s">
        <v>590</v>
      </c>
      <c r="D1587" s="12" t="s">
        <v>58</v>
      </c>
      <c r="E1587" s="12">
        <v>52.1</v>
      </c>
      <c r="F1587" s="14">
        <v>0</v>
      </c>
      <c r="G1587" s="102"/>
      <c r="H1587" s="113">
        <f t="shared" si="137"/>
        <v>0</v>
      </c>
      <c r="I1587" s="15"/>
      <c r="K1587" s="115">
        <f>2.6*52.1</f>
        <v>135.46</v>
      </c>
    </row>
    <row r="1588" spans="1:11" x14ac:dyDescent="0.25">
      <c r="A1588" s="10" t="s">
        <v>833</v>
      </c>
      <c r="B1588" s="211" t="s">
        <v>13</v>
      </c>
      <c r="C1588" s="11" t="s">
        <v>284</v>
      </c>
      <c r="D1588" s="12" t="s">
        <v>14</v>
      </c>
      <c r="E1588" s="12">
        <v>17</v>
      </c>
      <c r="F1588" s="14">
        <v>0</v>
      </c>
      <c r="G1588" s="102"/>
      <c r="H1588" s="113">
        <f t="shared" si="137"/>
        <v>0</v>
      </c>
      <c r="I1588" s="15"/>
      <c r="K1588" s="1">
        <f>0.81*E1588</f>
        <v>13.77</v>
      </c>
    </row>
    <row r="1589" spans="1:11" x14ac:dyDescent="0.25">
      <c r="A1589" s="10" t="s">
        <v>834</v>
      </c>
      <c r="B1589" s="211" t="s">
        <v>13</v>
      </c>
      <c r="C1589" s="70" t="s">
        <v>300</v>
      </c>
      <c r="D1589" s="12" t="s">
        <v>14</v>
      </c>
      <c r="E1589" s="12">
        <v>1</v>
      </c>
      <c r="F1589" s="14">
        <v>0</v>
      </c>
      <c r="G1589" s="102"/>
      <c r="H1589" s="113">
        <f t="shared" ref="H1589:H1592" si="138">E1589*F1589</f>
        <v>0</v>
      </c>
      <c r="I1589" s="15"/>
      <c r="K1589" s="115">
        <f>0.53*E1589</f>
        <v>0.53</v>
      </c>
    </row>
    <row r="1590" spans="1:11" x14ac:dyDescent="0.25">
      <c r="A1590" s="10" t="s">
        <v>845</v>
      </c>
      <c r="B1590" s="211" t="s">
        <v>13</v>
      </c>
      <c r="C1590" s="70" t="s">
        <v>288</v>
      </c>
      <c r="D1590" s="12" t="s">
        <v>14</v>
      </c>
      <c r="E1590" s="12">
        <v>3</v>
      </c>
      <c r="F1590" s="14">
        <v>0</v>
      </c>
      <c r="G1590" s="102"/>
      <c r="H1590" s="113">
        <f t="shared" si="138"/>
        <v>0</v>
      </c>
      <c r="I1590" s="15"/>
      <c r="K1590" s="115">
        <f>1.79*E1590</f>
        <v>5.37</v>
      </c>
    </row>
    <row r="1591" spans="1:11" x14ac:dyDescent="0.25">
      <c r="A1591" s="10" t="s">
        <v>846</v>
      </c>
      <c r="B1591" s="211" t="s">
        <v>13</v>
      </c>
      <c r="C1591" s="11" t="s">
        <v>289</v>
      </c>
      <c r="D1591" s="12" t="s">
        <v>14</v>
      </c>
      <c r="E1591" s="12">
        <v>1</v>
      </c>
      <c r="F1591" s="14">
        <v>0</v>
      </c>
      <c r="G1591" s="102"/>
      <c r="H1591" s="113">
        <f t="shared" si="138"/>
        <v>0</v>
      </c>
      <c r="I1591" s="15"/>
      <c r="K1591" s="115">
        <f>2.4*E1591</f>
        <v>2.4</v>
      </c>
    </row>
    <row r="1592" spans="1:11" ht="30" x14ac:dyDescent="0.25">
      <c r="A1592" s="10" t="s">
        <v>847</v>
      </c>
      <c r="B1592" s="211" t="s">
        <v>13</v>
      </c>
      <c r="C1592" s="70" t="s">
        <v>763</v>
      </c>
      <c r="D1592" s="12" t="s">
        <v>14</v>
      </c>
      <c r="E1592" s="12">
        <v>1</v>
      </c>
      <c r="F1592" s="14">
        <v>0</v>
      </c>
      <c r="G1592" s="102"/>
      <c r="H1592" s="113">
        <f t="shared" si="138"/>
        <v>0</v>
      </c>
      <c r="I1592" s="15"/>
      <c r="K1592" s="115">
        <f>0.95*E1592</f>
        <v>0.95</v>
      </c>
    </row>
    <row r="1593" spans="1:11" ht="42.75" x14ac:dyDescent="0.25">
      <c r="A1593" s="18">
        <v>13</v>
      </c>
      <c r="B1593" s="215" t="s">
        <v>9</v>
      </c>
      <c r="C1593" s="295" t="s">
        <v>291</v>
      </c>
      <c r="D1593" s="18" t="s">
        <v>54</v>
      </c>
      <c r="E1593" s="18">
        <v>4.2</v>
      </c>
      <c r="F1593" s="13"/>
      <c r="G1593" s="117">
        <v>0</v>
      </c>
      <c r="H1593" s="103"/>
      <c r="I1593" s="58">
        <f>E1593*G1593</f>
        <v>0</v>
      </c>
      <c r="K1593" s="115">
        <f>K1595+K1596+K1597</f>
        <v>4.2</v>
      </c>
    </row>
    <row r="1594" spans="1:11" x14ac:dyDescent="0.25">
      <c r="A1594" s="10" t="s">
        <v>77</v>
      </c>
      <c r="B1594" s="211" t="s">
        <v>13</v>
      </c>
      <c r="C1594" s="11" t="s">
        <v>165</v>
      </c>
      <c r="D1594" s="12" t="s">
        <v>38</v>
      </c>
      <c r="E1594" s="78">
        <f>1.22*E1593</f>
        <v>5.12</v>
      </c>
      <c r="F1594" s="14">
        <v>0</v>
      </c>
      <c r="G1594" s="102"/>
      <c r="H1594" s="113">
        <f>E1594*F1594</f>
        <v>0</v>
      </c>
      <c r="I1594" s="15"/>
    </row>
    <row r="1595" spans="1:11" ht="30" x14ac:dyDescent="0.25">
      <c r="A1595" s="10" t="s">
        <v>387</v>
      </c>
      <c r="B1595" s="211" t="s">
        <v>13</v>
      </c>
      <c r="C1595" s="374" t="s">
        <v>292</v>
      </c>
      <c r="D1595" s="12" t="s">
        <v>58</v>
      </c>
      <c r="E1595" s="12">
        <v>0.8</v>
      </c>
      <c r="F1595" s="14">
        <v>0</v>
      </c>
      <c r="G1595" s="102"/>
      <c r="H1595" s="113">
        <f t="shared" ref="H1595:H1598" si="139">E1595*F1595</f>
        <v>0</v>
      </c>
      <c r="I1595" s="15"/>
      <c r="K1595" s="115">
        <v>1.41</v>
      </c>
    </row>
    <row r="1596" spans="1:11" x14ac:dyDescent="0.25">
      <c r="A1596" s="10" t="s">
        <v>388</v>
      </c>
      <c r="B1596" s="211" t="s">
        <v>13</v>
      </c>
      <c r="C1596" s="70" t="s">
        <v>293</v>
      </c>
      <c r="D1596" s="12" t="s">
        <v>14</v>
      </c>
      <c r="E1596" s="12">
        <v>2</v>
      </c>
      <c r="F1596" s="14">
        <v>0</v>
      </c>
      <c r="G1596" s="102"/>
      <c r="H1596" s="113">
        <f t="shared" si="139"/>
        <v>0</v>
      </c>
      <c r="I1596" s="15"/>
      <c r="K1596" s="115">
        <f>1*E1596</f>
        <v>2</v>
      </c>
    </row>
    <row r="1597" spans="1:11" x14ac:dyDescent="0.25">
      <c r="A1597" s="10" t="s">
        <v>389</v>
      </c>
      <c r="B1597" s="211" t="s">
        <v>13</v>
      </c>
      <c r="C1597" s="70" t="s">
        <v>294</v>
      </c>
      <c r="D1597" s="20" t="s">
        <v>14</v>
      </c>
      <c r="E1597" s="20">
        <v>1</v>
      </c>
      <c r="F1597" s="14">
        <v>0</v>
      </c>
      <c r="G1597" s="102"/>
      <c r="H1597" s="113">
        <f t="shared" si="139"/>
        <v>0</v>
      </c>
      <c r="I1597" s="15"/>
      <c r="K1597" s="115">
        <f>0.79*E1597</f>
        <v>0.79</v>
      </c>
    </row>
    <row r="1598" spans="1:11" x14ac:dyDescent="0.25">
      <c r="A1598" s="10" t="s">
        <v>390</v>
      </c>
      <c r="B1598" s="229" t="s">
        <v>13</v>
      </c>
      <c r="C1598" s="70" t="s">
        <v>295</v>
      </c>
      <c r="D1598" s="20" t="s">
        <v>14</v>
      </c>
      <c r="E1598" s="20">
        <v>1</v>
      </c>
      <c r="F1598" s="14">
        <v>0</v>
      </c>
      <c r="G1598" s="102"/>
      <c r="H1598" s="113">
        <f t="shared" si="139"/>
        <v>0</v>
      </c>
      <c r="I1598" s="15"/>
    </row>
    <row r="1599" spans="1:11" ht="28.5" x14ac:dyDescent="0.25">
      <c r="A1599" s="16" t="s">
        <v>78</v>
      </c>
      <c r="B1599" s="228" t="s">
        <v>9</v>
      </c>
      <c r="C1599" s="17" t="s">
        <v>211</v>
      </c>
      <c r="D1599" s="19" t="s">
        <v>54</v>
      </c>
      <c r="E1599" s="18">
        <v>153.80000000000001</v>
      </c>
      <c r="F1599" s="28"/>
      <c r="G1599" s="117">
        <v>0</v>
      </c>
      <c r="H1599" s="103"/>
      <c r="I1599" s="58">
        <f>E1599*G1599</f>
        <v>0</v>
      </c>
    </row>
    <row r="1600" spans="1:11" x14ac:dyDescent="0.25">
      <c r="A1600" s="10" t="s">
        <v>79</v>
      </c>
      <c r="B1600" s="229" t="s">
        <v>13</v>
      </c>
      <c r="C1600" s="188" t="s">
        <v>209</v>
      </c>
      <c r="D1600" s="90" t="s">
        <v>54</v>
      </c>
      <c r="E1600" s="12">
        <f>1.1*E1599</f>
        <v>169.18</v>
      </c>
      <c r="F1600" s="33">
        <v>0</v>
      </c>
      <c r="G1600" s="102"/>
      <c r="H1600" s="113">
        <f>E1600*F1600</f>
        <v>0</v>
      </c>
      <c r="I1600" s="15"/>
    </row>
    <row r="1601" spans="1:11" ht="15.75" thickBot="1" x14ac:dyDescent="0.3">
      <c r="A1601" s="54" t="s">
        <v>392</v>
      </c>
      <c r="B1601" s="200" t="s">
        <v>13</v>
      </c>
      <c r="C1601" s="91" t="s">
        <v>266</v>
      </c>
      <c r="D1601" s="92" t="s">
        <v>38</v>
      </c>
      <c r="E1601" s="141">
        <f>0.7*E1599</f>
        <v>107.66</v>
      </c>
      <c r="F1601" s="186">
        <v>0</v>
      </c>
      <c r="G1601" s="114"/>
      <c r="H1601" s="120">
        <f>E1601*F1601</f>
        <v>0</v>
      </c>
      <c r="I1601" s="127"/>
    </row>
    <row r="1602" spans="1:11" ht="15.75" thickBot="1" x14ac:dyDescent="0.3">
      <c r="A1602" s="45"/>
      <c r="B1602" s="216"/>
      <c r="C1602" s="268" t="s">
        <v>417</v>
      </c>
      <c r="D1602" s="3"/>
      <c r="E1602" s="85"/>
      <c r="F1602" s="99"/>
      <c r="G1602" s="136"/>
      <c r="H1602" s="121">
        <f>SUM(H1577:H1601)</f>
        <v>0</v>
      </c>
      <c r="I1602" s="86">
        <f>SUM(I1576:I1601)</f>
        <v>0</v>
      </c>
    </row>
    <row r="1603" spans="1:11" ht="15.75" thickBot="1" x14ac:dyDescent="0.3">
      <c r="A1603" s="45"/>
      <c r="B1603" s="231"/>
      <c r="C1603" s="47" t="s">
        <v>764</v>
      </c>
      <c r="D1603" s="48"/>
      <c r="E1603" s="49"/>
      <c r="F1603" s="132"/>
      <c r="G1603" s="109"/>
      <c r="H1603" s="144"/>
      <c r="I1603" s="52"/>
    </row>
    <row r="1604" spans="1:11" ht="47.25" x14ac:dyDescent="0.25">
      <c r="A1604" s="4">
        <v>15</v>
      </c>
      <c r="B1604" s="226" t="s">
        <v>9</v>
      </c>
      <c r="C1604" s="5" t="s">
        <v>277</v>
      </c>
      <c r="D1604" s="171" t="s">
        <v>11</v>
      </c>
      <c r="E1604" s="4">
        <v>1</v>
      </c>
      <c r="F1604" s="6"/>
      <c r="G1604" s="172">
        <v>0</v>
      </c>
      <c r="H1604" s="6"/>
      <c r="I1604" s="42">
        <f>E1604*G1604</f>
        <v>0</v>
      </c>
    </row>
    <row r="1605" spans="1:11" ht="30" x14ac:dyDescent="0.25">
      <c r="A1605" s="10" t="s">
        <v>81</v>
      </c>
      <c r="B1605" s="211" t="s">
        <v>13</v>
      </c>
      <c r="C1605" s="70" t="s">
        <v>278</v>
      </c>
      <c r="D1605" s="12" t="s">
        <v>14</v>
      </c>
      <c r="E1605" s="12">
        <v>1</v>
      </c>
      <c r="F1605" s="14">
        <v>0</v>
      </c>
      <c r="G1605" s="102"/>
      <c r="H1605" s="113">
        <f>E1605*F1605</f>
        <v>0</v>
      </c>
      <c r="I1605" s="15"/>
    </row>
    <row r="1606" spans="1:11" x14ac:dyDescent="0.25">
      <c r="A1606" s="10" t="s">
        <v>82</v>
      </c>
      <c r="B1606" s="211" t="s">
        <v>13</v>
      </c>
      <c r="C1606" s="70" t="s">
        <v>279</v>
      </c>
      <c r="D1606" s="12" t="s">
        <v>14</v>
      </c>
      <c r="E1606" s="12">
        <v>1</v>
      </c>
      <c r="F1606" s="14">
        <v>0</v>
      </c>
      <c r="G1606" s="102"/>
      <c r="H1606" s="113">
        <f>E1606*F1606</f>
        <v>0</v>
      </c>
      <c r="I1606" s="15"/>
    </row>
    <row r="1607" spans="1:11" ht="28.5" x14ac:dyDescent="0.25">
      <c r="A1607" s="16" t="s">
        <v>871</v>
      </c>
      <c r="B1607" s="212" t="s">
        <v>9</v>
      </c>
      <c r="C1607" s="295" t="s">
        <v>803</v>
      </c>
      <c r="D1607" s="18" t="s">
        <v>472</v>
      </c>
      <c r="E1607" s="18">
        <v>5</v>
      </c>
      <c r="F1607" s="13"/>
      <c r="G1607" s="117">
        <v>0</v>
      </c>
      <c r="H1607" s="103"/>
      <c r="I1607" s="58">
        <f>E1607*G1607</f>
        <v>0</v>
      </c>
    </row>
    <row r="1608" spans="1:11" ht="28.5" x14ac:dyDescent="0.25">
      <c r="A1608" s="16" t="s">
        <v>86</v>
      </c>
      <c r="B1608" s="215" t="s">
        <v>9</v>
      </c>
      <c r="C1608" s="295" t="s">
        <v>280</v>
      </c>
      <c r="D1608" s="18" t="s">
        <v>14</v>
      </c>
      <c r="E1608" s="18">
        <v>1</v>
      </c>
      <c r="F1608" s="13"/>
      <c r="G1608" s="117">
        <v>0</v>
      </c>
      <c r="H1608" s="103"/>
      <c r="I1608" s="58">
        <f>E1608*G1608</f>
        <v>0</v>
      </c>
    </row>
    <row r="1609" spans="1:11" x14ac:dyDescent="0.25">
      <c r="A1609" s="10" t="s">
        <v>87</v>
      </c>
      <c r="B1609" s="211" t="s">
        <v>13</v>
      </c>
      <c r="C1609" s="70" t="s">
        <v>281</v>
      </c>
      <c r="D1609" s="12" t="s">
        <v>14</v>
      </c>
      <c r="E1609" s="12">
        <v>1</v>
      </c>
      <c r="F1609" s="14">
        <v>0</v>
      </c>
      <c r="G1609" s="102"/>
      <c r="H1609" s="113">
        <f>E1609*F1609</f>
        <v>0</v>
      </c>
      <c r="I1609" s="15"/>
    </row>
    <row r="1610" spans="1:11" ht="28.5" x14ac:dyDescent="0.25">
      <c r="A1610" s="26" t="s">
        <v>88</v>
      </c>
      <c r="B1610" s="212" t="s">
        <v>9</v>
      </c>
      <c r="C1610" s="295" t="s">
        <v>52</v>
      </c>
      <c r="D1610" s="18" t="s">
        <v>14</v>
      </c>
      <c r="E1610" s="18">
        <v>17</v>
      </c>
      <c r="F1610" s="13"/>
      <c r="G1610" s="117">
        <v>0</v>
      </c>
      <c r="H1610" s="103"/>
      <c r="I1610" s="58">
        <f>E1610*G1610</f>
        <v>0</v>
      </c>
    </row>
    <row r="1611" spans="1:11" ht="30" x14ac:dyDescent="0.25">
      <c r="A1611" s="10" t="s">
        <v>89</v>
      </c>
      <c r="B1611" s="211" t="s">
        <v>13</v>
      </c>
      <c r="C1611" s="70" t="s">
        <v>282</v>
      </c>
      <c r="D1611" s="12" t="s">
        <v>14</v>
      </c>
      <c r="E1611" s="12">
        <v>17</v>
      </c>
      <c r="F1611" s="14">
        <v>0</v>
      </c>
      <c r="G1611" s="102"/>
      <c r="H1611" s="113">
        <f>E1611*F1611</f>
        <v>0</v>
      </c>
      <c r="I1611" s="15"/>
    </row>
    <row r="1612" spans="1:11" ht="42.75" x14ac:dyDescent="0.25">
      <c r="A1612" s="16" t="s">
        <v>92</v>
      </c>
      <c r="B1612" s="215" t="s">
        <v>9</v>
      </c>
      <c r="C1612" s="17" t="s">
        <v>285</v>
      </c>
      <c r="D1612" s="18" t="s">
        <v>54</v>
      </c>
      <c r="E1612" s="373">
        <v>159.41</v>
      </c>
      <c r="F1612" s="13"/>
      <c r="G1612" s="117">
        <v>0</v>
      </c>
      <c r="H1612" s="103"/>
      <c r="I1612" s="58">
        <f>E1612*G1612</f>
        <v>0</v>
      </c>
      <c r="K1612" s="115">
        <f>K1614+K1615+K1616+K1617+K1618+K1619</f>
        <v>159.41</v>
      </c>
    </row>
    <row r="1613" spans="1:11" x14ac:dyDescent="0.25">
      <c r="A1613" s="10" t="s">
        <v>93</v>
      </c>
      <c r="B1613" s="211" t="s">
        <v>13</v>
      </c>
      <c r="C1613" s="11" t="s">
        <v>165</v>
      </c>
      <c r="D1613" s="12" t="s">
        <v>38</v>
      </c>
      <c r="E1613" s="78">
        <f>2.25*E1612</f>
        <v>358.67</v>
      </c>
      <c r="F1613" s="14">
        <v>0</v>
      </c>
      <c r="G1613" s="102"/>
      <c r="H1613" s="113">
        <f t="shared" ref="H1613:H1614" si="140">E1613*F1613</f>
        <v>0</v>
      </c>
      <c r="I1613" s="15"/>
    </row>
    <row r="1614" spans="1:11" x14ac:dyDescent="0.25">
      <c r="A1614" s="10" t="s">
        <v>94</v>
      </c>
      <c r="B1614" s="211" t="s">
        <v>13</v>
      </c>
      <c r="C1614" s="11" t="s">
        <v>364</v>
      </c>
      <c r="D1614" s="12" t="s">
        <v>58</v>
      </c>
      <c r="E1614" s="12">
        <v>49.7</v>
      </c>
      <c r="F1614" s="14">
        <v>0</v>
      </c>
      <c r="G1614" s="102"/>
      <c r="H1614" s="113">
        <f t="shared" si="140"/>
        <v>0</v>
      </c>
      <c r="I1614" s="15"/>
      <c r="K1614" s="115">
        <f>2.8*E1614</f>
        <v>139.16</v>
      </c>
    </row>
    <row r="1615" spans="1:11" x14ac:dyDescent="0.25">
      <c r="A1615" s="10" t="s">
        <v>95</v>
      </c>
      <c r="B1615" s="211" t="s">
        <v>13</v>
      </c>
      <c r="C1615" s="11" t="s">
        <v>284</v>
      </c>
      <c r="D1615" s="12" t="s">
        <v>14</v>
      </c>
      <c r="E1615" s="12">
        <v>17</v>
      </c>
      <c r="F1615" s="14">
        <v>0</v>
      </c>
      <c r="G1615" s="102"/>
      <c r="H1615" s="113">
        <f>E1615*F1615</f>
        <v>0</v>
      </c>
      <c r="I1615" s="15"/>
      <c r="K1615" s="115">
        <f>0.81*E1615</f>
        <v>13.77</v>
      </c>
    </row>
    <row r="1616" spans="1:11" x14ac:dyDescent="0.25">
      <c r="A1616" s="10" t="s">
        <v>408</v>
      </c>
      <c r="B1616" s="211" t="s">
        <v>13</v>
      </c>
      <c r="C1616" s="70" t="s">
        <v>576</v>
      </c>
      <c r="D1616" s="12" t="s">
        <v>14</v>
      </c>
      <c r="E1616" s="12">
        <v>1</v>
      </c>
      <c r="F1616" s="14">
        <v>0</v>
      </c>
      <c r="G1616" s="102"/>
      <c r="H1616" s="113">
        <f t="shared" ref="H1616:H1619" si="141">E1616*F1616</f>
        <v>0</v>
      </c>
      <c r="I1616" s="15"/>
      <c r="K1616" s="115">
        <f>0.54*E1616</f>
        <v>0.54</v>
      </c>
    </row>
    <row r="1617" spans="1:11" x14ac:dyDescent="0.25">
      <c r="A1617" s="10" t="s">
        <v>409</v>
      </c>
      <c r="B1617" s="211" t="s">
        <v>13</v>
      </c>
      <c r="C1617" s="70" t="s">
        <v>354</v>
      </c>
      <c r="D1617" s="12" t="s">
        <v>14</v>
      </c>
      <c r="E1617" s="12">
        <v>1</v>
      </c>
      <c r="F1617" s="14">
        <v>0</v>
      </c>
      <c r="G1617" s="102"/>
      <c r="H1617" s="113">
        <f t="shared" si="141"/>
        <v>0</v>
      </c>
      <c r="I1617" s="15"/>
      <c r="K1617" s="115">
        <f>1.71*E1617</f>
        <v>1.71</v>
      </c>
    </row>
    <row r="1618" spans="1:11" x14ac:dyDescent="0.25">
      <c r="A1618" s="10" t="s">
        <v>410</v>
      </c>
      <c r="B1618" s="211" t="s">
        <v>13</v>
      </c>
      <c r="C1618" s="11" t="s">
        <v>355</v>
      </c>
      <c r="D1618" s="12" t="s">
        <v>14</v>
      </c>
      <c r="E1618" s="12">
        <v>1</v>
      </c>
      <c r="F1618" s="14">
        <v>0</v>
      </c>
      <c r="G1618" s="102"/>
      <c r="H1618" s="113">
        <f t="shared" si="141"/>
        <v>0</v>
      </c>
      <c r="I1618" s="15"/>
      <c r="K1618" s="115">
        <f>3.03*E1618</f>
        <v>3.03</v>
      </c>
    </row>
    <row r="1619" spans="1:11" ht="30" x14ac:dyDescent="0.25">
      <c r="A1619" s="10" t="s">
        <v>411</v>
      </c>
      <c r="B1619" s="211" t="s">
        <v>13</v>
      </c>
      <c r="C1619" s="70" t="s">
        <v>356</v>
      </c>
      <c r="D1619" s="12" t="s">
        <v>14</v>
      </c>
      <c r="E1619" s="12">
        <v>1</v>
      </c>
      <c r="F1619" s="14">
        <v>0</v>
      </c>
      <c r="G1619" s="102"/>
      <c r="H1619" s="113">
        <f t="shared" si="141"/>
        <v>0</v>
      </c>
      <c r="I1619" s="15"/>
      <c r="K1619" s="115">
        <f>1.2*E1619</f>
        <v>1.2</v>
      </c>
    </row>
    <row r="1620" spans="1:11" ht="42.75" x14ac:dyDescent="0.25">
      <c r="A1620" s="18">
        <v>19</v>
      </c>
      <c r="B1620" s="215" t="s">
        <v>9</v>
      </c>
      <c r="C1620" s="295" t="s">
        <v>291</v>
      </c>
      <c r="D1620" s="18" t="s">
        <v>54</v>
      </c>
      <c r="E1620" s="18">
        <v>4.2</v>
      </c>
      <c r="F1620" s="13"/>
      <c r="G1620" s="117">
        <v>0</v>
      </c>
      <c r="H1620" s="103"/>
      <c r="I1620" s="58">
        <f>E1620*G1620</f>
        <v>0</v>
      </c>
      <c r="K1620" s="115">
        <f>K1622+K1623+K1624</f>
        <v>4.2</v>
      </c>
    </row>
    <row r="1621" spans="1:11" x14ac:dyDescent="0.25">
      <c r="A1621" s="10" t="s">
        <v>97</v>
      </c>
      <c r="B1621" s="211" t="s">
        <v>13</v>
      </c>
      <c r="C1621" s="11" t="s">
        <v>165</v>
      </c>
      <c r="D1621" s="12" t="s">
        <v>38</v>
      </c>
      <c r="E1621" s="78">
        <f>1.22*E1620</f>
        <v>5.12</v>
      </c>
      <c r="F1621" s="14">
        <v>0</v>
      </c>
      <c r="G1621" s="102"/>
      <c r="H1621" s="113">
        <f>E1621*F1621</f>
        <v>0</v>
      </c>
      <c r="I1621" s="15"/>
    </row>
    <row r="1622" spans="1:11" ht="30" x14ac:dyDescent="0.25">
      <c r="A1622" s="10" t="s">
        <v>98</v>
      </c>
      <c r="B1622" s="211" t="s">
        <v>13</v>
      </c>
      <c r="C1622" s="374" t="s">
        <v>292</v>
      </c>
      <c r="D1622" s="12" t="s">
        <v>58</v>
      </c>
      <c r="E1622" s="12">
        <v>0.8</v>
      </c>
      <c r="F1622" s="14">
        <v>0</v>
      </c>
      <c r="G1622" s="102"/>
      <c r="H1622" s="113">
        <f t="shared" ref="H1622:H1625" si="142">E1622*F1622</f>
        <v>0</v>
      </c>
      <c r="I1622" s="15"/>
      <c r="K1622" s="115">
        <v>1.41</v>
      </c>
    </row>
    <row r="1623" spans="1:11" x14ac:dyDescent="0.25">
      <c r="A1623" s="10" t="s">
        <v>414</v>
      </c>
      <c r="B1623" s="211" t="s">
        <v>13</v>
      </c>
      <c r="C1623" s="70" t="s">
        <v>293</v>
      </c>
      <c r="D1623" s="12" t="s">
        <v>14</v>
      </c>
      <c r="E1623" s="12">
        <v>2</v>
      </c>
      <c r="F1623" s="14">
        <v>0</v>
      </c>
      <c r="G1623" s="102"/>
      <c r="H1623" s="113">
        <f t="shared" si="142"/>
        <v>0</v>
      </c>
      <c r="I1623" s="15"/>
      <c r="K1623" s="115">
        <f>1*E1623</f>
        <v>2</v>
      </c>
    </row>
    <row r="1624" spans="1:11" x14ac:dyDescent="0.25">
      <c r="A1624" s="10" t="s">
        <v>412</v>
      </c>
      <c r="B1624" s="211" t="s">
        <v>13</v>
      </c>
      <c r="C1624" s="70" t="s">
        <v>294</v>
      </c>
      <c r="D1624" s="20" t="s">
        <v>14</v>
      </c>
      <c r="E1624" s="20">
        <v>1</v>
      </c>
      <c r="F1624" s="14">
        <v>0</v>
      </c>
      <c r="G1624" s="102"/>
      <c r="H1624" s="113">
        <f t="shared" si="142"/>
        <v>0</v>
      </c>
      <c r="I1624" s="15"/>
      <c r="K1624" s="115">
        <f>0.79*E1625</f>
        <v>0.79</v>
      </c>
    </row>
    <row r="1625" spans="1:11" x14ac:dyDescent="0.25">
      <c r="A1625" s="10" t="s">
        <v>413</v>
      </c>
      <c r="B1625" s="229" t="s">
        <v>13</v>
      </c>
      <c r="C1625" s="70" t="s">
        <v>295</v>
      </c>
      <c r="D1625" s="20" t="s">
        <v>14</v>
      </c>
      <c r="E1625" s="20">
        <v>1</v>
      </c>
      <c r="F1625" s="14">
        <v>0</v>
      </c>
      <c r="G1625" s="102"/>
      <c r="H1625" s="113">
        <f t="shared" si="142"/>
        <v>0</v>
      </c>
      <c r="I1625" s="15"/>
    </row>
    <row r="1626" spans="1:11" ht="28.5" x14ac:dyDescent="0.25">
      <c r="A1626" s="16" t="s">
        <v>99</v>
      </c>
      <c r="B1626" s="228" t="s">
        <v>9</v>
      </c>
      <c r="C1626" s="17" t="s">
        <v>211</v>
      </c>
      <c r="D1626" s="19" t="s">
        <v>54</v>
      </c>
      <c r="E1626" s="18">
        <v>155.4</v>
      </c>
      <c r="F1626" s="28"/>
      <c r="G1626" s="117">
        <v>0</v>
      </c>
      <c r="H1626" s="103"/>
      <c r="I1626" s="58">
        <f>E1626*G1626</f>
        <v>0</v>
      </c>
    </row>
    <row r="1627" spans="1:11" x14ac:dyDescent="0.25">
      <c r="A1627" s="10" t="s">
        <v>100</v>
      </c>
      <c r="B1627" s="229" t="s">
        <v>13</v>
      </c>
      <c r="C1627" s="188" t="s">
        <v>209</v>
      </c>
      <c r="D1627" s="90" t="s">
        <v>54</v>
      </c>
      <c r="E1627" s="12">
        <f>1.1*E1626</f>
        <v>170.94</v>
      </c>
      <c r="F1627" s="33">
        <v>0</v>
      </c>
      <c r="G1627" s="102"/>
      <c r="H1627" s="113">
        <f>E1627*F1627</f>
        <v>0</v>
      </c>
      <c r="I1627" s="15"/>
    </row>
    <row r="1628" spans="1:11" ht="15.75" thickBot="1" x14ac:dyDescent="0.3">
      <c r="A1628" s="54" t="s">
        <v>101</v>
      </c>
      <c r="B1628" s="200" t="s">
        <v>13</v>
      </c>
      <c r="C1628" s="91" t="s">
        <v>266</v>
      </c>
      <c r="D1628" s="92" t="s">
        <v>38</v>
      </c>
      <c r="E1628" s="141">
        <f>0.7*E1626</f>
        <v>108.78</v>
      </c>
      <c r="F1628" s="186">
        <v>0</v>
      </c>
      <c r="G1628" s="114"/>
      <c r="H1628" s="120">
        <f>E1628*F1628</f>
        <v>0</v>
      </c>
      <c r="I1628" s="127"/>
    </row>
    <row r="1629" spans="1:11" ht="15.75" thickBot="1" x14ac:dyDescent="0.3">
      <c r="A1629" s="45"/>
      <c r="B1629" s="216"/>
      <c r="C1629" s="268" t="s">
        <v>417</v>
      </c>
      <c r="D1629" s="3"/>
      <c r="E1629" s="85"/>
      <c r="F1629" s="99"/>
      <c r="G1629" s="136"/>
      <c r="H1629" s="121">
        <f>SUM(H1605:H1628)</f>
        <v>0</v>
      </c>
      <c r="I1629" s="86">
        <f>SUM(I1604:I1628)</f>
        <v>0</v>
      </c>
    </row>
    <row r="1630" spans="1:11" ht="15.75" thickBot="1" x14ac:dyDescent="0.3">
      <c r="A1630" s="352"/>
      <c r="B1630" s="353"/>
      <c r="C1630" s="354" t="s">
        <v>765</v>
      </c>
      <c r="D1630" s="355"/>
      <c r="E1630" s="355"/>
      <c r="F1630" s="51"/>
      <c r="G1630" s="51"/>
      <c r="H1630" s="51"/>
      <c r="I1630" s="52"/>
    </row>
    <row r="1631" spans="1:11" ht="28.5" x14ac:dyDescent="0.25">
      <c r="A1631" s="173" t="s">
        <v>105</v>
      </c>
      <c r="B1631" s="351" t="s">
        <v>9</v>
      </c>
      <c r="C1631" s="250" t="s">
        <v>297</v>
      </c>
      <c r="D1631" s="88" t="s">
        <v>14</v>
      </c>
      <c r="E1631" s="139">
        <v>1</v>
      </c>
      <c r="F1631" s="150"/>
      <c r="G1631" s="146">
        <v>0</v>
      </c>
      <c r="H1631" s="143"/>
      <c r="I1631" s="65">
        <f>E1631*G1631</f>
        <v>0</v>
      </c>
    </row>
    <row r="1632" spans="1:11" x14ac:dyDescent="0.25">
      <c r="A1632" s="112" t="s">
        <v>149</v>
      </c>
      <c r="B1632" s="233" t="s">
        <v>13</v>
      </c>
      <c r="C1632" s="128" t="s">
        <v>361</v>
      </c>
      <c r="D1632" s="90" t="s">
        <v>14</v>
      </c>
      <c r="E1632" s="125">
        <v>1</v>
      </c>
      <c r="F1632" s="63">
        <v>0</v>
      </c>
      <c r="G1632" s="101"/>
      <c r="H1632" s="126">
        <f>E1632*F1632</f>
        <v>0</v>
      </c>
      <c r="I1632" s="119"/>
    </row>
    <row r="1633" spans="1:11" x14ac:dyDescent="0.25">
      <c r="A1633" s="16" t="s">
        <v>108</v>
      </c>
      <c r="B1633" s="217" t="s">
        <v>9</v>
      </c>
      <c r="C1633" s="21" t="s">
        <v>30</v>
      </c>
      <c r="D1633" s="22" t="s">
        <v>14</v>
      </c>
      <c r="E1633" s="22">
        <v>1</v>
      </c>
      <c r="F1633" s="23"/>
      <c r="G1633" s="118">
        <v>0</v>
      </c>
      <c r="H1633" s="103"/>
      <c r="I1633" s="24">
        <f>E1633*G1633</f>
        <v>0</v>
      </c>
    </row>
    <row r="1634" spans="1:11" ht="30" x14ac:dyDescent="0.25">
      <c r="A1634" s="10" t="s">
        <v>106</v>
      </c>
      <c r="B1634" s="218" t="s">
        <v>13</v>
      </c>
      <c r="C1634" s="128" t="s">
        <v>578</v>
      </c>
      <c r="D1634" s="25" t="s">
        <v>14</v>
      </c>
      <c r="E1634" s="25">
        <v>1</v>
      </c>
      <c r="F1634" s="147">
        <v>0</v>
      </c>
      <c r="G1634" s="369"/>
      <c r="H1634" s="148">
        <f>E1634*F1634</f>
        <v>0</v>
      </c>
      <c r="I1634" s="15"/>
    </row>
    <row r="1635" spans="1:11" ht="28.5" x14ac:dyDescent="0.25">
      <c r="A1635" s="16" t="s">
        <v>476</v>
      </c>
      <c r="B1635" s="306" t="s">
        <v>9</v>
      </c>
      <c r="C1635" s="74" t="s">
        <v>803</v>
      </c>
      <c r="D1635" s="307" t="s">
        <v>472</v>
      </c>
      <c r="E1635" s="307">
        <v>5</v>
      </c>
      <c r="F1635" s="308"/>
      <c r="G1635" s="375">
        <v>0</v>
      </c>
      <c r="H1635" s="309"/>
      <c r="I1635" s="58">
        <f>E1635*G1635</f>
        <v>0</v>
      </c>
    </row>
    <row r="1636" spans="1:11" ht="42.75" x14ac:dyDescent="0.25">
      <c r="A1636" s="16" t="s">
        <v>109</v>
      </c>
      <c r="B1636" s="215" t="s">
        <v>9</v>
      </c>
      <c r="C1636" s="17" t="s">
        <v>285</v>
      </c>
      <c r="D1636" s="18" t="s">
        <v>54</v>
      </c>
      <c r="E1636" s="18">
        <v>155.71</v>
      </c>
      <c r="F1636" s="13"/>
      <c r="G1636" s="117">
        <v>0</v>
      </c>
      <c r="H1636" s="103"/>
      <c r="I1636" s="58">
        <f>E1636*G1636</f>
        <v>0</v>
      </c>
      <c r="K1636" s="115">
        <f>K1638+K1639+K1640+K1641+K1642+K1643+K1644</f>
        <v>155.71</v>
      </c>
    </row>
    <row r="1637" spans="1:11" x14ac:dyDescent="0.25">
      <c r="A1637" s="10" t="s">
        <v>110</v>
      </c>
      <c r="B1637" s="211" t="s">
        <v>13</v>
      </c>
      <c r="C1637" s="11" t="s">
        <v>165</v>
      </c>
      <c r="D1637" s="12" t="s">
        <v>38</v>
      </c>
      <c r="E1637" s="78">
        <f>2.25*E1636</f>
        <v>350.35</v>
      </c>
      <c r="F1637" s="14">
        <v>0</v>
      </c>
      <c r="G1637" s="102"/>
      <c r="H1637" s="113">
        <f t="shared" ref="H1637:H1644" si="143">E1637*F1637</f>
        <v>0</v>
      </c>
      <c r="I1637" s="15"/>
    </row>
    <row r="1638" spans="1:11" ht="30" x14ac:dyDescent="0.25">
      <c r="A1638" s="10" t="s">
        <v>111</v>
      </c>
      <c r="B1638" s="211" t="s">
        <v>13</v>
      </c>
      <c r="C1638" s="11" t="s">
        <v>590</v>
      </c>
      <c r="D1638" s="12" t="s">
        <v>58</v>
      </c>
      <c r="E1638" s="12">
        <v>49.5</v>
      </c>
      <c r="F1638" s="14">
        <v>0</v>
      </c>
      <c r="G1638" s="102"/>
      <c r="H1638" s="113">
        <f t="shared" si="143"/>
        <v>0</v>
      </c>
      <c r="I1638" s="15"/>
      <c r="K1638" s="115">
        <f>2.6*E1638</f>
        <v>128.69999999999999</v>
      </c>
    </row>
    <row r="1639" spans="1:11" ht="30" x14ac:dyDescent="0.25">
      <c r="A1639" s="10" t="s">
        <v>789</v>
      </c>
      <c r="B1639" s="220" t="s">
        <v>13</v>
      </c>
      <c r="C1639" s="30" t="s">
        <v>581</v>
      </c>
      <c r="D1639" s="31" t="s">
        <v>58</v>
      </c>
      <c r="E1639" s="32">
        <v>0.8</v>
      </c>
      <c r="F1639" s="33">
        <v>0</v>
      </c>
      <c r="G1639" s="102"/>
      <c r="H1639" s="113">
        <f t="shared" si="143"/>
        <v>0</v>
      </c>
      <c r="I1639" s="15"/>
      <c r="K1639" s="115">
        <f>2.52*E1639</f>
        <v>2.02</v>
      </c>
    </row>
    <row r="1640" spans="1:11" ht="30" x14ac:dyDescent="0.25">
      <c r="A1640" s="10" t="s">
        <v>866</v>
      </c>
      <c r="B1640" s="220" t="s">
        <v>13</v>
      </c>
      <c r="C1640" s="30" t="s">
        <v>623</v>
      </c>
      <c r="D1640" s="31" t="s">
        <v>58</v>
      </c>
      <c r="E1640" s="32">
        <v>2.1</v>
      </c>
      <c r="F1640" s="33">
        <v>0</v>
      </c>
      <c r="G1640" s="102"/>
      <c r="H1640" s="113">
        <f>E1640*F1640</f>
        <v>0</v>
      </c>
      <c r="I1640" s="15"/>
      <c r="K1640" s="115">
        <f>2.4*E1640</f>
        <v>5.04</v>
      </c>
    </row>
    <row r="1641" spans="1:11" x14ac:dyDescent="0.25">
      <c r="A1641" s="10" t="s">
        <v>867</v>
      </c>
      <c r="B1641" s="220" t="s">
        <v>13</v>
      </c>
      <c r="C1641" s="30" t="s">
        <v>766</v>
      </c>
      <c r="D1641" s="31" t="s">
        <v>14</v>
      </c>
      <c r="E1641" s="32">
        <v>1</v>
      </c>
      <c r="F1641" s="33">
        <v>0</v>
      </c>
      <c r="G1641" s="102"/>
      <c r="H1641" s="113">
        <f t="shared" si="143"/>
        <v>0</v>
      </c>
      <c r="I1641" s="15"/>
      <c r="K1641" s="115">
        <f>1.1*E1641</f>
        <v>1.1000000000000001</v>
      </c>
    </row>
    <row r="1642" spans="1:11" x14ac:dyDescent="0.25">
      <c r="A1642" s="10" t="s">
        <v>868</v>
      </c>
      <c r="B1642" s="220" t="s">
        <v>13</v>
      </c>
      <c r="C1642" s="30" t="s">
        <v>299</v>
      </c>
      <c r="D1642" s="31" t="s">
        <v>14</v>
      </c>
      <c r="E1642" s="32">
        <v>17</v>
      </c>
      <c r="F1642" s="33">
        <v>0</v>
      </c>
      <c r="G1642" s="102"/>
      <c r="H1642" s="113">
        <f t="shared" si="143"/>
        <v>0</v>
      </c>
      <c r="I1642" s="15"/>
      <c r="K1642" s="115">
        <f>0.81*E1642</f>
        <v>13.77</v>
      </c>
    </row>
    <row r="1643" spans="1:11" x14ac:dyDescent="0.25">
      <c r="A1643" s="10" t="s">
        <v>872</v>
      </c>
      <c r="B1643" s="220" t="s">
        <v>13</v>
      </c>
      <c r="C1643" s="30" t="s">
        <v>300</v>
      </c>
      <c r="D1643" s="31" t="s">
        <v>14</v>
      </c>
      <c r="E1643" s="32">
        <v>1</v>
      </c>
      <c r="F1643" s="33">
        <v>0</v>
      </c>
      <c r="G1643" s="102"/>
      <c r="H1643" s="113">
        <f t="shared" si="143"/>
        <v>0</v>
      </c>
      <c r="I1643" s="15"/>
      <c r="K1643" s="115">
        <f>0.53*E1643</f>
        <v>0.53</v>
      </c>
    </row>
    <row r="1644" spans="1:11" ht="30" x14ac:dyDescent="0.25">
      <c r="A1644" s="10" t="s">
        <v>873</v>
      </c>
      <c r="B1644" s="220" t="s">
        <v>13</v>
      </c>
      <c r="C1644" s="30" t="s">
        <v>301</v>
      </c>
      <c r="D1644" s="31" t="s">
        <v>14</v>
      </c>
      <c r="E1644" s="32">
        <v>5</v>
      </c>
      <c r="F1644" s="33">
        <v>0</v>
      </c>
      <c r="G1644" s="102"/>
      <c r="H1644" s="113">
        <f t="shared" si="143"/>
        <v>0</v>
      </c>
      <c r="I1644" s="15"/>
      <c r="K1644" s="115">
        <f>0.91*E1644</f>
        <v>4.55</v>
      </c>
    </row>
    <row r="1645" spans="1:11" ht="28.5" x14ac:dyDescent="0.25">
      <c r="A1645" s="18">
        <v>24</v>
      </c>
      <c r="B1645" s="221" t="s">
        <v>9</v>
      </c>
      <c r="C1645" s="17" t="s">
        <v>52</v>
      </c>
      <c r="D1645" s="19" t="s">
        <v>14</v>
      </c>
      <c r="E1645" s="18">
        <v>17</v>
      </c>
      <c r="F1645" s="28"/>
      <c r="G1645" s="117">
        <v>0</v>
      </c>
      <c r="H1645" s="103"/>
      <c r="I1645" s="58">
        <f>E1645*G1645</f>
        <v>0</v>
      </c>
    </row>
    <row r="1646" spans="1:11" ht="45" x14ac:dyDescent="0.25">
      <c r="A1646" s="29" t="s">
        <v>113</v>
      </c>
      <c r="B1646" s="220" t="s">
        <v>13</v>
      </c>
      <c r="C1646" s="30" t="s">
        <v>459</v>
      </c>
      <c r="D1646" s="31" t="s">
        <v>14</v>
      </c>
      <c r="E1646" s="32">
        <v>17</v>
      </c>
      <c r="F1646" s="33">
        <v>0</v>
      </c>
      <c r="G1646" s="102"/>
      <c r="H1646" s="113">
        <f>E1646*F1646</f>
        <v>0</v>
      </c>
      <c r="I1646" s="15"/>
    </row>
    <row r="1647" spans="1:11" ht="28.5" x14ac:dyDescent="0.25">
      <c r="A1647" s="173" t="s">
        <v>115</v>
      </c>
      <c r="B1647" s="234" t="s">
        <v>9</v>
      </c>
      <c r="C1647" s="17" t="s">
        <v>211</v>
      </c>
      <c r="D1647" s="19" t="s">
        <v>54</v>
      </c>
      <c r="E1647" s="18">
        <v>143.9</v>
      </c>
      <c r="F1647" s="28"/>
      <c r="G1647" s="117">
        <v>0</v>
      </c>
      <c r="H1647" s="103"/>
      <c r="I1647" s="58">
        <f>E1647*G1647</f>
        <v>0</v>
      </c>
    </row>
    <row r="1648" spans="1:11" x14ac:dyDescent="0.25">
      <c r="A1648" s="29" t="s">
        <v>116</v>
      </c>
      <c r="B1648" s="220" t="s">
        <v>13</v>
      </c>
      <c r="C1648" s="188" t="s">
        <v>209</v>
      </c>
      <c r="D1648" s="90" t="s">
        <v>54</v>
      </c>
      <c r="E1648" s="12">
        <f>1.1*E1647</f>
        <v>158.29</v>
      </c>
      <c r="F1648" s="33">
        <v>0</v>
      </c>
      <c r="G1648" s="102"/>
      <c r="H1648" s="113">
        <f>E1648*F1648</f>
        <v>0</v>
      </c>
      <c r="I1648" s="15"/>
    </row>
    <row r="1649" spans="1:11" ht="15.75" thickBot="1" x14ac:dyDescent="0.3">
      <c r="A1649" s="29" t="s">
        <v>117</v>
      </c>
      <c r="B1649" s="220" t="s">
        <v>13</v>
      </c>
      <c r="C1649" s="91" t="s">
        <v>266</v>
      </c>
      <c r="D1649" s="92" t="s">
        <v>38</v>
      </c>
      <c r="E1649" s="141">
        <f>0.7*E1647</f>
        <v>100.73</v>
      </c>
      <c r="F1649" s="186">
        <v>0</v>
      </c>
      <c r="G1649" s="114"/>
      <c r="H1649" s="120">
        <f>E1649*F1649</f>
        <v>0</v>
      </c>
      <c r="I1649" s="127"/>
    </row>
    <row r="1650" spans="1:11" ht="15.75" thickBot="1" x14ac:dyDescent="0.3">
      <c r="A1650" s="83"/>
      <c r="B1650" s="216"/>
      <c r="C1650" s="268" t="s">
        <v>44</v>
      </c>
      <c r="D1650" s="48"/>
      <c r="E1650" s="49"/>
      <c r="F1650" s="50"/>
      <c r="G1650" s="51"/>
      <c r="H1650" s="50">
        <f>SUM(H1632:H1649)</f>
        <v>0</v>
      </c>
      <c r="I1650" s="86">
        <f>SUM(I1631:I1649)</f>
        <v>0</v>
      </c>
    </row>
    <row r="1651" spans="1:11" ht="15.75" thickBot="1" x14ac:dyDescent="0.3">
      <c r="A1651" s="352"/>
      <c r="B1651" s="353"/>
      <c r="C1651" s="354" t="s">
        <v>767</v>
      </c>
      <c r="D1651" s="355"/>
      <c r="E1651" s="355"/>
      <c r="F1651" s="51"/>
      <c r="G1651" s="51"/>
      <c r="H1651" s="51"/>
      <c r="I1651" s="52"/>
    </row>
    <row r="1652" spans="1:11" ht="28.5" x14ac:dyDescent="0.25">
      <c r="A1652" s="173" t="s">
        <v>118</v>
      </c>
      <c r="B1652" s="351" t="s">
        <v>9</v>
      </c>
      <c r="C1652" s="250" t="s">
        <v>297</v>
      </c>
      <c r="D1652" s="88" t="s">
        <v>14</v>
      </c>
      <c r="E1652" s="139">
        <v>1</v>
      </c>
      <c r="F1652" s="150"/>
      <c r="G1652" s="146">
        <v>0</v>
      </c>
      <c r="H1652" s="143"/>
      <c r="I1652" s="65">
        <f>E1652*G1652</f>
        <v>0</v>
      </c>
    </row>
    <row r="1653" spans="1:11" x14ac:dyDescent="0.25">
      <c r="A1653" s="112" t="s">
        <v>119</v>
      </c>
      <c r="B1653" s="233" t="s">
        <v>13</v>
      </c>
      <c r="C1653" s="128" t="s">
        <v>361</v>
      </c>
      <c r="D1653" s="90" t="s">
        <v>14</v>
      </c>
      <c r="E1653" s="125">
        <v>1</v>
      </c>
      <c r="F1653" s="63">
        <v>0</v>
      </c>
      <c r="G1653" s="101"/>
      <c r="H1653" s="126">
        <f>E1653*F1653</f>
        <v>0</v>
      </c>
      <c r="I1653" s="119"/>
    </row>
    <row r="1654" spans="1:11" x14ac:dyDescent="0.25">
      <c r="A1654" s="16" t="s">
        <v>122</v>
      </c>
      <c r="B1654" s="217" t="s">
        <v>9</v>
      </c>
      <c r="C1654" s="21" t="s">
        <v>30</v>
      </c>
      <c r="D1654" s="22" t="s">
        <v>14</v>
      </c>
      <c r="E1654" s="22">
        <v>1</v>
      </c>
      <c r="F1654" s="23"/>
      <c r="G1654" s="118">
        <v>0</v>
      </c>
      <c r="H1654" s="103"/>
      <c r="I1654" s="24">
        <f>E1654*G1654</f>
        <v>0</v>
      </c>
    </row>
    <row r="1655" spans="1:11" ht="30" x14ac:dyDescent="0.25">
      <c r="A1655" s="10" t="s">
        <v>123</v>
      </c>
      <c r="B1655" s="218" t="s">
        <v>13</v>
      </c>
      <c r="C1655" s="128" t="s">
        <v>578</v>
      </c>
      <c r="D1655" s="25" t="s">
        <v>14</v>
      </c>
      <c r="E1655" s="25">
        <v>1</v>
      </c>
      <c r="F1655" s="147">
        <v>0</v>
      </c>
      <c r="G1655" s="369"/>
      <c r="H1655" s="148">
        <f>E1655*F1655</f>
        <v>0</v>
      </c>
      <c r="I1655" s="15"/>
    </row>
    <row r="1656" spans="1:11" x14ac:dyDescent="0.25">
      <c r="A1656" s="16" t="s">
        <v>790</v>
      </c>
      <c r="B1656" s="306" t="s">
        <v>9</v>
      </c>
      <c r="C1656" s="74" t="s">
        <v>471</v>
      </c>
      <c r="D1656" s="307" t="s">
        <v>472</v>
      </c>
      <c r="E1656" s="307">
        <v>5</v>
      </c>
      <c r="F1656" s="308"/>
      <c r="G1656" s="375">
        <v>0</v>
      </c>
      <c r="H1656" s="309"/>
      <c r="I1656" s="58">
        <f>E1656*G1656</f>
        <v>0</v>
      </c>
    </row>
    <row r="1657" spans="1:11" ht="42.75" x14ac:dyDescent="0.25">
      <c r="A1657" s="16" t="s">
        <v>125</v>
      </c>
      <c r="B1657" s="215" t="s">
        <v>9</v>
      </c>
      <c r="C1657" s="17" t="s">
        <v>285</v>
      </c>
      <c r="D1657" s="18" t="s">
        <v>54</v>
      </c>
      <c r="E1657" s="18">
        <v>158.4</v>
      </c>
      <c r="F1657" s="13"/>
      <c r="G1657" s="117">
        <v>0</v>
      </c>
      <c r="H1657" s="103"/>
      <c r="I1657" s="58">
        <f>E1657*G1657</f>
        <v>0</v>
      </c>
      <c r="K1657" s="115">
        <f>K1659+K1660+K1661+K1662+K1663+K1664</f>
        <v>158.4</v>
      </c>
    </row>
    <row r="1658" spans="1:11" x14ac:dyDescent="0.25">
      <c r="A1658" s="10" t="s">
        <v>126</v>
      </c>
      <c r="B1658" s="211" t="s">
        <v>13</v>
      </c>
      <c r="C1658" s="11" t="s">
        <v>165</v>
      </c>
      <c r="D1658" s="12" t="s">
        <v>38</v>
      </c>
      <c r="E1658" s="78">
        <f>2.25*E1657</f>
        <v>356.4</v>
      </c>
      <c r="F1658" s="14">
        <v>0</v>
      </c>
      <c r="G1658" s="102"/>
      <c r="H1658" s="113">
        <f t="shared" ref="H1658:H1664" si="144">E1658*F1658</f>
        <v>0</v>
      </c>
      <c r="I1658" s="15"/>
    </row>
    <row r="1659" spans="1:11" ht="30" x14ac:dyDescent="0.25">
      <c r="A1659" s="10" t="s">
        <v>791</v>
      </c>
      <c r="B1659" s="211" t="s">
        <v>13</v>
      </c>
      <c r="C1659" s="11" t="s">
        <v>579</v>
      </c>
      <c r="D1659" s="12" t="s">
        <v>58</v>
      </c>
      <c r="E1659" s="12">
        <v>48.8</v>
      </c>
      <c r="F1659" s="14">
        <v>0</v>
      </c>
      <c r="G1659" s="102"/>
      <c r="H1659" s="113">
        <f t="shared" si="144"/>
        <v>0</v>
      </c>
      <c r="I1659" s="15"/>
      <c r="K1659" s="115">
        <f>2.8*E1659</f>
        <v>136.63999999999999</v>
      </c>
    </row>
    <row r="1660" spans="1:11" ht="30" x14ac:dyDescent="0.25">
      <c r="A1660" s="10" t="s">
        <v>874</v>
      </c>
      <c r="B1660" s="220" t="s">
        <v>13</v>
      </c>
      <c r="C1660" s="30" t="s">
        <v>581</v>
      </c>
      <c r="D1660" s="31" t="s">
        <v>58</v>
      </c>
      <c r="E1660" s="32">
        <v>0.5</v>
      </c>
      <c r="F1660" s="33">
        <v>0</v>
      </c>
      <c r="G1660" s="102"/>
      <c r="H1660" s="113">
        <f t="shared" si="144"/>
        <v>0</v>
      </c>
      <c r="I1660" s="15"/>
      <c r="K1660" s="115">
        <f>2.52*E1660</f>
        <v>1.26</v>
      </c>
    </row>
    <row r="1661" spans="1:11" x14ac:dyDescent="0.25">
      <c r="A1661" s="10" t="s">
        <v>875</v>
      </c>
      <c r="B1661" s="220" t="s">
        <v>13</v>
      </c>
      <c r="C1661" s="30" t="s">
        <v>580</v>
      </c>
      <c r="D1661" s="31" t="s">
        <v>14</v>
      </c>
      <c r="E1661" s="32">
        <v>1</v>
      </c>
      <c r="F1661" s="33">
        <v>0</v>
      </c>
      <c r="G1661" s="102"/>
      <c r="H1661" s="113">
        <f t="shared" si="144"/>
        <v>0</v>
      </c>
      <c r="I1661" s="15"/>
      <c r="K1661" s="115">
        <f>1.29*E1661</f>
        <v>1.29</v>
      </c>
    </row>
    <row r="1662" spans="1:11" x14ac:dyDescent="0.25">
      <c r="A1662" s="10" t="s">
        <v>876</v>
      </c>
      <c r="B1662" s="220" t="s">
        <v>13</v>
      </c>
      <c r="C1662" s="30" t="s">
        <v>299</v>
      </c>
      <c r="D1662" s="31" t="s">
        <v>14</v>
      </c>
      <c r="E1662" s="32">
        <v>17</v>
      </c>
      <c r="F1662" s="33">
        <v>0</v>
      </c>
      <c r="G1662" s="102"/>
      <c r="H1662" s="113">
        <f t="shared" si="144"/>
        <v>0</v>
      </c>
      <c r="I1662" s="15"/>
      <c r="K1662" s="115">
        <f>0.81*E1662</f>
        <v>13.77</v>
      </c>
    </row>
    <row r="1663" spans="1:11" x14ac:dyDescent="0.25">
      <c r="A1663" s="10" t="s">
        <v>877</v>
      </c>
      <c r="B1663" s="220" t="s">
        <v>13</v>
      </c>
      <c r="C1663" s="30" t="s">
        <v>365</v>
      </c>
      <c r="D1663" s="31" t="s">
        <v>14</v>
      </c>
      <c r="E1663" s="32">
        <v>1</v>
      </c>
      <c r="F1663" s="33">
        <v>0</v>
      </c>
      <c r="G1663" s="102"/>
      <c r="H1663" s="113">
        <f t="shared" si="144"/>
        <v>0</v>
      </c>
      <c r="I1663" s="15"/>
      <c r="K1663" s="115">
        <f>0.54*E1663</f>
        <v>0.54</v>
      </c>
    </row>
    <row r="1664" spans="1:11" ht="30" x14ac:dyDescent="0.25">
      <c r="A1664" s="10" t="s">
        <v>878</v>
      </c>
      <c r="B1664" s="220" t="s">
        <v>13</v>
      </c>
      <c r="C1664" s="30" t="s">
        <v>366</v>
      </c>
      <c r="D1664" s="31" t="s">
        <v>14</v>
      </c>
      <c r="E1664" s="32">
        <v>5</v>
      </c>
      <c r="F1664" s="33">
        <v>0</v>
      </c>
      <c r="G1664" s="102"/>
      <c r="H1664" s="113">
        <f t="shared" si="144"/>
        <v>0</v>
      </c>
      <c r="I1664" s="15"/>
      <c r="K1664" s="115">
        <f>0.98*E1664</f>
        <v>4.9000000000000004</v>
      </c>
    </row>
    <row r="1665" spans="1:9" ht="28.5" x14ac:dyDescent="0.25">
      <c r="A1665" s="18">
        <v>29</v>
      </c>
      <c r="B1665" s="221" t="s">
        <v>9</v>
      </c>
      <c r="C1665" s="17" t="s">
        <v>52</v>
      </c>
      <c r="D1665" s="19" t="s">
        <v>14</v>
      </c>
      <c r="E1665" s="18">
        <v>17</v>
      </c>
      <c r="F1665" s="28"/>
      <c r="G1665" s="117">
        <v>0</v>
      </c>
      <c r="H1665" s="103"/>
      <c r="I1665" s="58">
        <f>E1665*G1665</f>
        <v>0</v>
      </c>
    </row>
    <row r="1666" spans="1:9" ht="45" x14ac:dyDescent="0.25">
      <c r="A1666" s="29" t="s">
        <v>128</v>
      </c>
      <c r="B1666" s="220" t="s">
        <v>13</v>
      </c>
      <c r="C1666" s="30" t="s">
        <v>459</v>
      </c>
      <c r="D1666" s="31" t="s">
        <v>14</v>
      </c>
      <c r="E1666" s="32">
        <v>17</v>
      </c>
      <c r="F1666" s="33">
        <v>0</v>
      </c>
      <c r="G1666" s="102"/>
      <c r="H1666" s="113">
        <f>E1666*F1666</f>
        <v>0</v>
      </c>
      <c r="I1666" s="15"/>
    </row>
    <row r="1667" spans="1:9" ht="28.5" x14ac:dyDescent="0.25">
      <c r="A1667" s="173" t="s">
        <v>129</v>
      </c>
      <c r="B1667" s="234" t="s">
        <v>9</v>
      </c>
      <c r="C1667" s="17" t="s">
        <v>211</v>
      </c>
      <c r="D1667" s="19" t="s">
        <v>54</v>
      </c>
      <c r="E1667" s="18">
        <v>147.80000000000001</v>
      </c>
      <c r="F1667" s="28"/>
      <c r="G1667" s="117">
        <v>0</v>
      </c>
      <c r="H1667" s="103"/>
      <c r="I1667" s="58">
        <f>E1667*G1667</f>
        <v>0</v>
      </c>
    </row>
    <row r="1668" spans="1:9" x14ac:dyDescent="0.25">
      <c r="A1668" s="29" t="s">
        <v>131</v>
      </c>
      <c r="B1668" s="220" t="s">
        <v>13</v>
      </c>
      <c r="C1668" s="188" t="s">
        <v>209</v>
      </c>
      <c r="D1668" s="90" t="s">
        <v>54</v>
      </c>
      <c r="E1668" s="12">
        <f>1.1*E1667</f>
        <v>162.58000000000001</v>
      </c>
      <c r="F1668" s="33">
        <v>0</v>
      </c>
      <c r="G1668" s="102"/>
      <c r="H1668" s="113">
        <f>E1668*F1668</f>
        <v>0</v>
      </c>
      <c r="I1668" s="15"/>
    </row>
    <row r="1669" spans="1:9" ht="15.75" thickBot="1" x14ac:dyDescent="0.3">
      <c r="A1669" s="29" t="s">
        <v>132</v>
      </c>
      <c r="B1669" s="220" t="s">
        <v>13</v>
      </c>
      <c r="C1669" s="91" t="s">
        <v>266</v>
      </c>
      <c r="D1669" s="92" t="s">
        <v>38</v>
      </c>
      <c r="E1669" s="141">
        <f>0.7*E1667</f>
        <v>103.46</v>
      </c>
      <c r="F1669" s="186">
        <v>0</v>
      </c>
      <c r="G1669" s="114"/>
      <c r="H1669" s="120">
        <f>E1669*F1669</f>
        <v>0</v>
      </c>
      <c r="I1669" s="127"/>
    </row>
    <row r="1670" spans="1:9" ht="15.75" thickBot="1" x14ac:dyDescent="0.3">
      <c r="A1670" s="83"/>
      <c r="B1670" s="216"/>
      <c r="C1670" s="268" t="s">
        <v>44</v>
      </c>
      <c r="D1670" s="48"/>
      <c r="E1670" s="49"/>
      <c r="F1670" s="121"/>
      <c r="G1670" s="52"/>
      <c r="H1670" s="99">
        <f>SUM(H1653:H1669)</f>
        <v>0</v>
      </c>
      <c r="I1670" s="86">
        <f>SUM(I1652:I1669)</f>
        <v>0</v>
      </c>
    </row>
    <row r="1671" spans="1:9" x14ac:dyDescent="0.25">
      <c r="A1671" s="130"/>
      <c r="B1671" s="261"/>
      <c r="C1671" s="285" t="s">
        <v>423</v>
      </c>
      <c r="D1671" s="92"/>
      <c r="E1671" s="158"/>
      <c r="F1671" s="392"/>
      <c r="G1671" s="390"/>
      <c r="H1671" s="192">
        <f>H1555+H1574+H1602+H1629+H1650+H1670</f>
        <v>0</v>
      </c>
      <c r="I1671" s="282">
        <f>I1555+I1574+I1602+I1629+I1650+I1670</f>
        <v>0</v>
      </c>
    </row>
    <row r="1672" spans="1:9" ht="15.75" thickBot="1" x14ac:dyDescent="0.3">
      <c r="A1672" s="34"/>
      <c r="B1672" s="202"/>
      <c r="C1672" s="43" t="s">
        <v>768</v>
      </c>
      <c r="D1672" s="35"/>
      <c r="E1672" s="36"/>
      <c r="F1672" s="108"/>
      <c r="G1672" s="394"/>
      <c r="H1672" s="365"/>
      <c r="I1672" s="82">
        <f>H1671+I1671</f>
        <v>0</v>
      </c>
    </row>
    <row r="1673" spans="1:9" ht="15.75" thickBot="1" x14ac:dyDescent="0.3">
      <c r="A1673" s="83"/>
      <c r="B1673" s="216"/>
      <c r="C1673" s="98" t="s">
        <v>769</v>
      </c>
      <c r="D1673" s="49"/>
      <c r="E1673" s="49"/>
      <c r="F1673" s="121"/>
      <c r="G1673" s="391"/>
      <c r="H1673" s="121"/>
      <c r="I1673" s="393">
        <f>I1468+I1536+I1672</f>
        <v>0</v>
      </c>
    </row>
    <row r="1674" spans="1:9" ht="15.75" thickBot="1" x14ac:dyDescent="0.3">
      <c r="A1674" s="387"/>
      <c r="B1674" s="389"/>
      <c r="C1674" s="395" t="s">
        <v>879</v>
      </c>
      <c r="D1674" s="363"/>
      <c r="E1674" s="362"/>
      <c r="F1674" s="121"/>
      <c r="G1674" s="393"/>
      <c r="H1674" s="121"/>
      <c r="I1674" s="393">
        <f>I445+I866+I1286+I1673</f>
        <v>0</v>
      </c>
    </row>
    <row r="1675" spans="1:9" ht="15.75" thickBot="1" x14ac:dyDescent="0.3">
      <c r="A1675" s="387"/>
      <c r="B1675" s="388"/>
      <c r="C1675" s="396" t="s">
        <v>880</v>
      </c>
      <c r="D1675" s="397">
        <v>0.2</v>
      </c>
      <c r="E1675" s="398"/>
      <c r="F1675" s="273"/>
      <c r="G1675" s="399"/>
      <c r="H1675" s="273"/>
      <c r="I1675" s="399">
        <f>I1674/1.2*20%</f>
        <v>0</v>
      </c>
    </row>
  </sheetData>
  <mergeCells count="18">
    <mergeCell ref="A12:C12"/>
    <mergeCell ref="A14:A15"/>
    <mergeCell ref="C14:C15"/>
    <mergeCell ref="B11:I11"/>
    <mergeCell ref="G1:I1"/>
    <mergeCell ref="C7:G7"/>
    <mergeCell ref="B8:I8"/>
    <mergeCell ref="A10:I10"/>
    <mergeCell ref="D2:I2"/>
    <mergeCell ref="A2:B2"/>
    <mergeCell ref="D14:D15"/>
    <mergeCell ref="E14:E15"/>
    <mergeCell ref="B14:B15"/>
    <mergeCell ref="C1292:I1292"/>
    <mergeCell ref="L982:S982"/>
    <mergeCell ref="H14:I14"/>
    <mergeCell ref="C22:I22"/>
    <mergeCell ref="F14:G14"/>
  </mergeCells>
  <phoneticPr fontId="9" type="noConversion"/>
  <pageMargins left="0.70866141732283472" right="0.19685039370078741" top="0.59055118110236227" bottom="0.74803149606299213" header="0" footer="0.31496062992125984"/>
  <pageSetup paperSize="9" scale="60" orientation="portrait" horizontalDpi="1200" verticalDpi="1200" r:id="rId1"/>
  <headerFooter>
    <oddFooter>&amp;LГенподрядчик____________________&amp;C&amp;P&amp;RСубподрядчик_____________________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F8B7-77AE-4BE1-9E7B-6DA3D8322C3E}">
  <dimension ref="A1:AJ46"/>
  <sheetViews>
    <sheetView workbookViewId="0">
      <selection activeCell="F17" sqref="F17"/>
    </sheetView>
  </sheetViews>
  <sheetFormatPr defaultRowHeight="15" x14ac:dyDescent="0.25"/>
  <cols>
    <col min="1" max="1" width="37.140625" customWidth="1"/>
    <col min="2" max="2" width="9" customWidth="1"/>
  </cols>
  <sheetData>
    <row r="1" spans="1:36" x14ac:dyDescent="0.25">
      <c r="A1" s="359" t="s">
        <v>714</v>
      </c>
    </row>
    <row r="2" spans="1:36" ht="15.75" thickBot="1" x14ac:dyDescent="0.3"/>
    <row r="3" spans="1:36" ht="15.75" thickBot="1" x14ac:dyDescent="0.3">
      <c r="A3" s="334" t="s">
        <v>529</v>
      </c>
      <c r="B3" s="340"/>
      <c r="C3" s="339" t="s">
        <v>530</v>
      </c>
      <c r="D3" s="333" t="s">
        <v>531</v>
      </c>
      <c r="E3" s="333" t="s">
        <v>532</v>
      </c>
      <c r="F3" s="333" t="s">
        <v>533</v>
      </c>
      <c r="G3" s="333" t="s">
        <v>534</v>
      </c>
      <c r="H3" s="333" t="s">
        <v>535</v>
      </c>
      <c r="I3" s="333" t="s">
        <v>536</v>
      </c>
      <c r="J3" s="333" t="s">
        <v>537</v>
      </c>
      <c r="K3" s="333" t="s">
        <v>538</v>
      </c>
      <c r="L3" s="333" t="s">
        <v>539</v>
      </c>
      <c r="M3" s="333" t="s">
        <v>540</v>
      </c>
      <c r="N3" s="333" t="s">
        <v>541</v>
      </c>
      <c r="O3" s="333" t="s">
        <v>542</v>
      </c>
      <c r="P3" s="333" t="s">
        <v>543</v>
      </c>
      <c r="Q3" s="333" t="s">
        <v>544</v>
      </c>
      <c r="R3" s="333" t="s">
        <v>545</v>
      </c>
      <c r="S3" s="333" t="s">
        <v>546</v>
      </c>
      <c r="T3" s="333" t="s">
        <v>547</v>
      </c>
      <c r="U3" s="333" t="s">
        <v>548</v>
      </c>
      <c r="V3" s="333" t="s">
        <v>549</v>
      </c>
      <c r="W3" s="333" t="s">
        <v>550</v>
      </c>
      <c r="X3" s="333" t="s">
        <v>551</v>
      </c>
      <c r="Y3" s="333" t="s">
        <v>552</v>
      </c>
      <c r="Z3" s="333" t="s">
        <v>553</v>
      </c>
      <c r="AA3" s="333" t="s">
        <v>554</v>
      </c>
      <c r="AB3" s="333" t="s">
        <v>555</v>
      </c>
      <c r="AC3" s="333" t="s">
        <v>556</v>
      </c>
      <c r="AD3" s="333" t="s">
        <v>557</v>
      </c>
      <c r="AE3" s="333" t="s">
        <v>558</v>
      </c>
      <c r="AF3" s="333" t="s">
        <v>559</v>
      </c>
      <c r="AG3" s="333" t="s">
        <v>560</v>
      </c>
      <c r="AH3" s="333" t="s">
        <v>561</v>
      </c>
      <c r="AI3" s="349" t="s">
        <v>423</v>
      </c>
      <c r="AJ3" s="332"/>
    </row>
    <row r="4" spans="1:36" x14ac:dyDescent="0.25">
      <c r="A4" s="335" t="s">
        <v>524</v>
      </c>
      <c r="B4" s="341" t="s">
        <v>14</v>
      </c>
      <c r="C4" s="344">
        <v>1</v>
      </c>
      <c r="D4" s="345">
        <v>1</v>
      </c>
      <c r="E4" s="345">
        <v>1</v>
      </c>
      <c r="F4" s="345">
        <v>1</v>
      </c>
      <c r="G4" s="345">
        <v>1</v>
      </c>
      <c r="H4" s="345">
        <v>1</v>
      </c>
      <c r="I4" s="345">
        <v>1</v>
      </c>
      <c r="J4" s="345">
        <v>1</v>
      </c>
      <c r="K4" s="345">
        <v>1</v>
      </c>
      <c r="L4" s="345">
        <v>1</v>
      </c>
      <c r="M4" s="345">
        <v>1</v>
      </c>
      <c r="N4" s="345">
        <v>1</v>
      </c>
      <c r="O4" s="345">
        <v>1</v>
      </c>
      <c r="P4" s="345">
        <v>1</v>
      </c>
      <c r="Q4" s="345">
        <v>1</v>
      </c>
      <c r="R4" s="345">
        <v>1</v>
      </c>
      <c r="S4" s="345">
        <v>1</v>
      </c>
      <c r="T4" s="345">
        <v>1</v>
      </c>
      <c r="U4" s="345">
        <v>1</v>
      </c>
      <c r="V4" s="345">
        <v>1</v>
      </c>
      <c r="W4" s="345">
        <v>1</v>
      </c>
      <c r="X4" s="345">
        <v>1</v>
      </c>
      <c r="Y4" s="345">
        <v>1</v>
      </c>
      <c r="Z4" s="345">
        <v>1</v>
      </c>
      <c r="AA4" s="345">
        <v>1</v>
      </c>
      <c r="AB4" s="345">
        <v>1</v>
      </c>
      <c r="AC4" s="345">
        <v>1</v>
      </c>
      <c r="AD4" s="345">
        <v>1</v>
      </c>
      <c r="AE4" s="345">
        <v>1</v>
      </c>
      <c r="AF4" s="345">
        <v>1</v>
      </c>
      <c r="AG4" s="345">
        <v>1</v>
      </c>
      <c r="AH4" s="345">
        <v>1</v>
      </c>
      <c r="AI4" s="348">
        <f>SUM(C4:AH4)</f>
        <v>32</v>
      </c>
      <c r="AJ4" s="331"/>
    </row>
    <row r="5" spans="1:36" x14ac:dyDescent="0.25">
      <c r="A5" s="336" t="s">
        <v>525</v>
      </c>
      <c r="B5" s="342" t="s">
        <v>58</v>
      </c>
      <c r="C5" s="346">
        <v>1</v>
      </c>
      <c r="D5" s="347">
        <v>1</v>
      </c>
      <c r="E5" s="347">
        <v>1</v>
      </c>
      <c r="F5" s="347">
        <v>1</v>
      </c>
      <c r="G5" s="347">
        <v>1</v>
      </c>
      <c r="H5" s="347">
        <v>1</v>
      </c>
      <c r="I5" s="347">
        <v>1</v>
      </c>
      <c r="J5" s="347">
        <v>1</v>
      </c>
      <c r="K5" s="347">
        <v>1</v>
      </c>
      <c r="L5" s="347">
        <v>1</v>
      </c>
      <c r="M5" s="347">
        <v>1</v>
      </c>
      <c r="N5" s="347">
        <v>1</v>
      </c>
      <c r="O5" s="347">
        <v>1</v>
      </c>
      <c r="P5" s="347">
        <v>1</v>
      </c>
      <c r="Q5" s="347">
        <v>1</v>
      </c>
      <c r="R5" s="347">
        <v>1</v>
      </c>
      <c r="S5" s="347">
        <v>1</v>
      </c>
      <c r="T5" s="347">
        <v>1</v>
      </c>
      <c r="U5" s="347">
        <v>1</v>
      </c>
      <c r="V5" s="347">
        <v>1</v>
      </c>
      <c r="W5" s="347">
        <v>1</v>
      </c>
      <c r="X5" s="347">
        <v>1</v>
      </c>
      <c r="Y5" s="347">
        <v>1</v>
      </c>
      <c r="Z5" s="347">
        <v>1</v>
      </c>
      <c r="AA5" s="347">
        <v>1</v>
      </c>
      <c r="AB5" s="347">
        <v>1</v>
      </c>
      <c r="AC5" s="347">
        <v>1</v>
      </c>
      <c r="AD5" s="347">
        <v>1</v>
      </c>
      <c r="AE5" s="347">
        <v>1</v>
      </c>
      <c r="AF5" s="347">
        <v>1</v>
      </c>
      <c r="AG5" s="347">
        <v>1</v>
      </c>
      <c r="AH5" s="347">
        <v>1</v>
      </c>
      <c r="AI5" s="348">
        <f t="shared" ref="AI5:AI10" si="0">SUM(C5:AH5)</f>
        <v>32</v>
      </c>
      <c r="AJ5" s="331"/>
    </row>
    <row r="6" spans="1:36" ht="45" x14ac:dyDescent="0.25">
      <c r="A6" s="337" t="s">
        <v>526</v>
      </c>
      <c r="B6" s="342" t="s">
        <v>58</v>
      </c>
      <c r="C6" s="346">
        <v>0.6</v>
      </c>
      <c r="D6" s="347">
        <v>0.6</v>
      </c>
      <c r="E6" s="347">
        <v>0.6</v>
      </c>
      <c r="F6" s="347">
        <v>2.6</v>
      </c>
      <c r="G6" s="347">
        <v>0.9</v>
      </c>
      <c r="H6" s="347">
        <v>2.6</v>
      </c>
      <c r="I6" s="347">
        <v>2.6</v>
      </c>
      <c r="J6" s="347">
        <v>0.6</v>
      </c>
      <c r="K6" s="347">
        <v>0.6</v>
      </c>
      <c r="L6" s="347">
        <v>0.6</v>
      </c>
      <c r="M6" s="347">
        <v>0.5</v>
      </c>
      <c r="N6" s="347">
        <v>0.6</v>
      </c>
      <c r="O6" s="347">
        <v>0.6</v>
      </c>
      <c r="P6" s="347">
        <v>1.7</v>
      </c>
      <c r="Q6" s="347">
        <v>0.6</v>
      </c>
      <c r="R6" s="347">
        <v>0.6</v>
      </c>
      <c r="S6" s="347">
        <v>0.6</v>
      </c>
      <c r="T6" s="347">
        <v>0.6</v>
      </c>
      <c r="U6" s="347">
        <v>0.6</v>
      </c>
      <c r="V6" s="347">
        <v>0.6</v>
      </c>
      <c r="W6" s="347">
        <v>0.6</v>
      </c>
      <c r="X6" s="347">
        <v>0.6</v>
      </c>
      <c r="Y6" s="347">
        <v>0.6</v>
      </c>
      <c r="Z6" s="347">
        <v>0.6</v>
      </c>
      <c r="AA6" s="347">
        <v>0.6</v>
      </c>
      <c r="AB6" s="347">
        <v>1.4</v>
      </c>
      <c r="AC6" s="347">
        <v>0.7</v>
      </c>
      <c r="AD6" s="347">
        <v>0.7</v>
      </c>
      <c r="AE6" s="347">
        <v>2.5</v>
      </c>
      <c r="AF6" s="347">
        <v>0.6</v>
      </c>
      <c r="AG6" s="347">
        <v>2.6</v>
      </c>
      <c r="AH6" s="347">
        <v>0.6</v>
      </c>
      <c r="AI6" s="348">
        <f t="shared" si="0"/>
        <v>31.4</v>
      </c>
      <c r="AJ6" s="331"/>
    </row>
    <row r="7" spans="1:36" ht="45" x14ac:dyDescent="0.25">
      <c r="A7" s="337" t="s">
        <v>527</v>
      </c>
      <c r="B7" s="342" t="s">
        <v>58</v>
      </c>
      <c r="C7" s="346">
        <v>2</v>
      </c>
      <c r="D7" s="347">
        <v>2</v>
      </c>
      <c r="E7" s="347">
        <v>2</v>
      </c>
      <c r="F7" s="347">
        <v>2</v>
      </c>
      <c r="G7" s="347">
        <v>2</v>
      </c>
      <c r="H7" s="347">
        <v>2</v>
      </c>
      <c r="I7" s="347">
        <v>2</v>
      </c>
      <c r="J7" s="347">
        <v>2</v>
      </c>
      <c r="K7" s="347">
        <v>2</v>
      </c>
      <c r="L7" s="347">
        <v>2</v>
      </c>
      <c r="M7" s="347">
        <v>2</v>
      </c>
      <c r="N7" s="347">
        <v>2</v>
      </c>
      <c r="O7" s="347">
        <v>2</v>
      </c>
      <c r="P7" s="347">
        <v>2</v>
      </c>
      <c r="Q7" s="347">
        <v>2</v>
      </c>
      <c r="R7" s="347">
        <v>2</v>
      </c>
      <c r="S7" s="347">
        <v>2</v>
      </c>
      <c r="T7" s="347">
        <v>2</v>
      </c>
      <c r="U7" s="347">
        <v>2</v>
      </c>
      <c r="V7" s="347">
        <v>2</v>
      </c>
      <c r="W7" s="347">
        <v>2</v>
      </c>
      <c r="X7" s="347">
        <v>2</v>
      </c>
      <c r="Y7" s="347">
        <v>2</v>
      </c>
      <c r="Z7" s="347">
        <v>2</v>
      </c>
      <c r="AA7" s="347">
        <v>2</v>
      </c>
      <c r="AB7" s="347">
        <v>1.9</v>
      </c>
      <c r="AC7" s="347">
        <v>2</v>
      </c>
      <c r="AD7" s="347">
        <v>2</v>
      </c>
      <c r="AE7" s="347">
        <v>2</v>
      </c>
      <c r="AF7" s="347">
        <v>2</v>
      </c>
      <c r="AG7" s="347">
        <v>2</v>
      </c>
      <c r="AH7" s="347">
        <v>2</v>
      </c>
      <c r="AI7" s="348">
        <f t="shared" si="0"/>
        <v>63.9</v>
      </c>
      <c r="AJ7" s="331"/>
    </row>
    <row r="8" spans="1:36" ht="30" x14ac:dyDescent="0.25">
      <c r="A8" s="337" t="s">
        <v>154</v>
      </c>
      <c r="B8" s="342" t="s">
        <v>14</v>
      </c>
      <c r="C8" s="346">
        <v>1</v>
      </c>
      <c r="D8" s="347">
        <v>1</v>
      </c>
      <c r="E8" s="347">
        <v>1</v>
      </c>
      <c r="F8" s="347">
        <v>3</v>
      </c>
      <c r="G8" s="347">
        <v>1</v>
      </c>
      <c r="H8" s="347">
        <v>3</v>
      </c>
      <c r="I8" s="347">
        <v>3</v>
      </c>
      <c r="J8" s="347">
        <v>1</v>
      </c>
      <c r="K8" s="347">
        <v>1</v>
      </c>
      <c r="L8" s="347">
        <v>1</v>
      </c>
      <c r="M8" s="347">
        <v>1</v>
      </c>
      <c r="N8" s="347">
        <v>1</v>
      </c>
      <c r="O8" s="347">
        <v>1</v>
      </c>
      <c r="P8" s="347">
        <v>3</v>
      </c>
      <c r="Q8" s="347">
        <v>1</v>
      </c>
      <c r="R8" s="347">
        <v>1</v>
      </c>
      <c r="S8" s="347">
        <v>1</v>
      </c>
      <c r="T8" s="347">
        <v>1</v>
      </c>
      <c r="U8" s="347">
        <v>1</v>
      </c>
      <c r="V8" s="347">
        <v>1</v>
      </c>
      <c r="W8" s="347">
        <v>1</v>
      </c>
      <c r="X8" s="347">
        <v>1</v>
      </c>
      <c r="Y8" s="347">
        <v>1</v>
      </c>
      <c r="Z8" s="347">
        <v>1</v>
      </c>
      <c r="AA8" s="347">
        <v>1</v>
      </c>
      <c r="AB8" s="347">
        <v>2</v>
      </c>
      <c r="AC8" s="347">
        <v>1</v>
      </c>
      <c r="AD8" s="347">
        <v>1</v>
      </c>
      <c r="AE8" s="347">
        <v>3</v>
      </c>
      <c r="AF8" s="347">
        <v>1</v>
      </c>
      <c r="AG8" s="347">
        <v>3</v>
      </c>
      <c r="AH8" s="347">
        <v>1</v>
      </c>
      <c r="AI8" s="348">
        <f t="shared" si="0"/>
        <v>45</v>
      </c>
      <c r="AJ8" s="331"/>
    </row>
    <row r="9" spans="1:36" ht="30" x14ac:dyDescent="0.25">
      <c r="A9" s="337" t="s">
        <v>159</v>
      </c>
      <c r="B9" s="342" t="s">
        <v>14</v>
      </c>
      <c r="C9" s="346">
        <v>1</v>
      </c>
      <c r="D9" s="347">
        <v>1</v>
      </c>
      <c r="E9" s="347">
        <v>1</v>
      </c>
      <c r="F9" s="347">
        <v>1</v>
      </c>
      <c r="G9" s="347">
        <v>1</v>
      </c>
      <c r="H9" s="347">
        <v>1</v>
      </c>
      <c r="I9" s="347">
        <v>1</v>
      </c>
      <c r="J9" s="347">
        <v>1</v>
      </c>
      <c r="K9" s="347">
        <v>1</v>
      </c>
      <c r="L9" s="347">
        <v>1</v>
      </c>
      <c r="M9" s="347">
        <v>1</v>
      </c>
      <c r="N9" s="347">
        <v>1</v>
      </c>
      <c r="O9" s="347">
        <v>1</v>
      </c>
      <c r="P9" s="347">
        <v>1</v>
      </c>
      <c r="Q9" s="347">
        <v>1</v>
      </c>
      <c r="R9" s="347">
        <v>1</v>
      </c>
      <c r="S9" s="347">
        <v>1</v>
      </c>
      <c r="T9" s="347">
        <v>1</v>
      </c>
      <c r="U9" s="347">
        <v>1</v>
      </c>
      <c r="V9" s="347">
        <v>1</v>
      </c>
      <c r="W9" s="347">
        <v>1</v>
      </c>
      <c r="X9" s="347">
        <v>1</v>
      </c>
      <c r="Y9" s="347">
        <v>1</v>
      </c>
      <c r="Z9" s="347">
        <v>1</v>
      </c>
      <c r="AA9" s="347">
        <v>1</v>
      </c>
      <c r="AB9" s="347">
        <v>1</v>
      </c>
      <c r="AC9" s="347">
        <v>1</v>
      </c>
      <c r="AD9" s="347">
        <v>1</v>
      </c>
      <c r="AE9" s="347">
        <v>1</v>
      </c>
      <c r="AF9" s="347">
        <v>1</v>
      </c>
      <c r="AG9" s="347">
        <v>1</v>
      </c>
      <c r="AH9" s="347">
        <v>1</v>
      </c>
      <c r="AI9" s="348">
        <f t="shared" si="0"/>
        <v>32</v>
      </c>
      <c r="AJ9" s="331"/>
    </row>
    <row r="10" spans="1:36" ht="75" x14ac:dyDescent="0.25">
      <c r="A10" s="337" t="s">
        <v>528</v>
      </c>
      <c r="B10" s="342" t="s">
        <v>54</v>
      </c>
      <c r="C10" s="346">
        <v>0.7</v>
      </c>
      <c r="D10" s="347">
        <v>0.7</v>
      </c>
      <c r="E10" s="347">
        <v>0.7</v>
      </c>
      <c r="F10" s="347">
        <v>0.7</v>
      </c>
      <c r="G10" s="347">
        <v>0.7</v>
      </c>
      <c r="H10" s="347">
        <v>0.7</v>
      </c>
      <c r="I10" s="347">
        <v>0.7</v>
      </c>
      <c r="J10" s="347">
        <v>0.7</v>
      </c>
      <c r="K10" s="347">
        <v>0.7</v>
      </c>
      <c r="L10" s="347">
        <v>0.7</v>
      </c>
      <c r="M10" s="347">
        <v>0.7</v>
      </c>
      <c r="N10" s="347">
        <v>0.7</v>
      </c>
      <c r="O10" s="347">
        <v>0.7</v>
      </c>
      <c r="P10" s="347">
        <v>0.7</v>
      </c>
      <c r="Q10" s="347">
        <v>0.7</v>
      </c>
      <c r="R10" s="347">
        <v>0.7</v>
      </c>
      <c r="S10" s="347">
        <v>0.7</v>
      </c>
      <c r="T10" s="347">
        <v>0.7</v>
      </c>
      <c r="U10" s="347">
        <v>0.7</v>
      </c>
      <c r="V10" s="347">
        <v>0.7</v>
      </c>
      <c r="W10" s="347">
        <v>0.7</v>
      </c>
      <c r="X10" s="347">
        <v>0.7</v>
      </c>
      <c r="Y10" s="347">
        <v>0.7</v>
      </c>
      <c r="Z10" s="347">
        <v>0.7</v>
      </c>
      <c r="AA10" s="347">
        <v>0.7</v>
      </c>
      <c r="AB10" s="347">
        <v>0.7</v>
      </c>
      <c r="AC10" s="347">
        <v>0.7</v>
      </c>
      <c r="AD10" s="347">
        <v>0.7</v>
      </c>
      <c r="AE10" s="347">
        <v>0.7</v>
      </c>
      <c r="AF10" s="347">
        <v>0.7</v>
      </c>
      <c r="AG10" s="347">
        <v>0.7</v>
      </c>
      <c r="AH10" s="347">
        <v>0.7</v>
      </c>
      <c r="AI10" s="348">
        <f t="shared" si="0"/>
        <v>22.4</v>
      </c>
      <c r="AJ10" s="331"/>
    </row>
    <row r="11" spans="1:36" ht="15.75" thickBot="1" x14ac:dyDescent="0.3">
      <c r="A11" s="338"/>
      <c r="B11" s="343"/>
      <c r="C11" s="346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31"/>
    </row>
    <row r="12" spans="1:36" x14ac:dyDescent="0.25">
      <c r="A12" s="329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</row>
    <row r="13" spans="1:36" x14ac:dyDescent="0.25">
      <c r="A13" s="357" t="s">
        <v>618</v>
      </c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</row>
    <row r="14" spans="1:36" ht="15.75" thickBot="1" x14ac:dyDescent="0.3">
      <c r="A14" s="329"/>
    </row>
    <row r="15" spans="1:36" ht="15.75" thickBot="1" x14ac:dyDescent="0.3">
      <c r="A15" s="334" t="s">
        <v>529</v>
      </c>
      <c r="B15" s="340"/>
      <c r="C15" s="339" t="s">
        <v>684</v>
      </c>
      <c r="D15" s="333" t="s">
        <v>685</v>
      </c>
      <c r="E15" s="339" t="s">
        <v>686</v>
      </c>
      <c r="F15" s="333" t="s">
        <v>687</v>
      </c>
      <c r="G15" s="339" t="s">
        <v>688</v>
      </c>
      <c r="H15" s="333" t="s">
        <v>689</v>
      </c>
      <c r="I15" s="339" t="s">
        <v>690</v>
      </c>
      <c r="J15" s="333" t="s">
        <v>691</v>
      </c>
      <c r="K15" s="339" t="s">
        <v>692</v>
      </c>
      <c r="L15" s="333" t="s">
        <v>693</v>
      </c>
      <c r="M15" s="339" t="s">
        <v>694</v>
      </c>
      <c r="N15" s="333" t="s">
        <v>695</v>
      </c>
      <c r="O15" s="339" t="s">
        <v>696</v>
      </c>
      <c r="P15" s="333" t="s">
        <v>697</v>
      </c>
      <c r="Q15" s="339" t="s">
        <v>698</v>
      </c>
      <c r="R15" s="333" t="s">
        <v>699</v>
      </c>
      <c r="S15" s="339" t="s">
        <v>700</v>
      </c>
      <c r="T15" s="333" t="s">
        <v>701</v>
      </c>
      <c r="U15" s="339" t="s">
        <v>702</v>
      </c>
      <c r="V15" s="333" t="s">
        <v>703</v>
      </c>
      <c r="W15" s="339" t="s">
        <v>704</v>
      </c>
      <c r="X15" s="333" t="s">
        <v>705</v>
      </c>
      <c r="Y15" s="339" t="s">
        <v>706</v>
      </c>
      <c r="Z15" s="333" t="s">
        <v>707</v>
      </c>
      <c r="AA15" s="339" t="s">
        <v>708</v>
      </c>
      <c r="AB15" s="333" t="s">
        <v>709</v>
      </c>
      <c r="AC15" s="339" t="s">
        <v>710</v>
      </c>
      <c r="AD15" s="333" t="s">
        <v>711</v>
      </c>
      <c r="AE15" s="339" t="s">
        <v>712</v>
      </c>
      <c r="AF15" s="333" t="s">
        <v>713</v>
      </c>
      <c r="AG15" s="333"/>
      <c r="AH15" s="333"/>
      <c r="AI15" s="349" t="s">
        <v>423</v>
      </c>
    </row>
    <row r="16" spans="1:36" x14ac:dyDescent="0.25">
      <c r="A16" s="335" t="s">
        <v>524</v>
      </c>
      <c r="B16" s="341" t="s">
        <v>14</v>
      </c>
      <c r="C16" s="344">
        <v>1</v>
      </c>
      <c r="D16" s="345">
        <v>1</v>
      </c>
      <c r="E16" s="345">
        <v>1</v>
      </c>
      <c r="F16" s="345">
        <v>1</v>
      </c>
      <c r="G16" s="345">
        <v>1</v>
      </c>
      <c r="H16" s="345">
        <v>1</v>
      </c>
      <c r="I16" s="345">
        <v>1</v>
      </c>
      <c r="J16" s="345">
        <v>1</v>
      </c>
      <c r="K16" s="345">
        <v>1</v>
      </c>
      <c r="L16" s="345">
        <v>1</v>
      </c>
      <c r="M16" s="345">
        <v>1</v>
      </c>
      <c r="N16" s="345">
        <v>1</v>
      </c>
      <c r="O16" s="345">
        <v>1</v>
      </c>
      <c r="P16" s="345">
        <v>1</v>
      </c>
      <c r="Q16" s="345">
        <v>1</v>
      </c>
      <c r="R16" s="345">
        <v>1</v>
      </c>
      <c r="S16" s="345">
        <v>1</v>
      </c>
      <c r="T16" s="345">
        <v>1</v>
      </c>
      <c r="U16" s="345">
        <v>1</v>
      </c>
      <c r="V16" s="345">
        <v>1</v>
      </c>
      <c r="W16" s="345">
        <v>1</v>
      </c>
      <c r="X16" s="345">
        <v>1</v>
      </c>
      <c r="Y16" s="345">
        <v>1</v>
      </c>
      <c r="Z16" s="345">
        <v>1</v>
      </c>
      <c r="AA16" s="345">
        <v>1</v>
      </c>
      <c r="AB16" s="345">
        <v>1</v>
      </c>
      <c r="AC16" s="345">
        <v>1</v>
      </c>
      <c r="AD16" s="345">
        <v>1</v>
      </c>
      <c r="AE16" s="345">
        <v>1</v>
      </c>
      <c r="AF16" s="345">
        <v>1</v>
      </c>
      <c r="AG16" s="345"/>
      <c r="AH16" s="345"/>
      <c r="AI16" s="348">
        <f>SUM(C16:AH16)</f>
        <v>30</v>
      </c>
    </row>
    <row r="17" spans="1:35" x14ac:dyDescent="0.25">
      <c r="A17" s="336" t="s">
        <v>525</v>
      </c>
      <c r="B17" s="342" t="s">
        <v>58</v>
      </c>
      <c r="C17" s="346">
        <v>1</v>
      </c>
      <c r="D17" s="347">
        <v>1</v>
      </c>
      <c r="E17" s="347">
        <v>1</v>
      </c>
      <c r="F17" s="347">
        <v>1</v>
      </c>
      <c r="G17" s="347">
        <v>1</v>
      </c>
      <c r="H17" s="347">
        <v>1</v>
      </c>
      <c r="I17" s="347">
        <v>1</v>
      </c>
      <c r="J17" s="347">
        <v>1</v>
      </c>
      <c r="K17" s="347">
        <v>1</v>
      </c>
      <c r="L17" s="347">
        <v>1</v>
      </c>
      <c r="M17" s="347">
        <v>1</v>
      </c>
      <c r="N17" s="347">
        <v>1</v>
      </c>
      <c r="O17" s="347">
        <v>1</v>
      </c>
      <c r="P17" s="347">
        <v>1</v>
      </c>
      <c r="Q17" s="347">
        <v>1</v>
      </c>
      <c r="R17" s="347">
        <v>1</v>
      </c>
      <c r="S17" s="347">
        <v>1</v>
      </c>
      <c r="T17" s="347">
        <v>1</v>
      </c>
      <c r="U17" s="347">
        <v>1</v>
      </c>
      <c r="V17" s="347">
        <v>1</v>
      </c>
      <c r="W17" s="347">
        <v>1</v>
      </c>
      <c r="X17" s="347">
        <v>1</v>
      </c>
      <c r="Y17" s="347">
        <v>1</v>
      </c>
      <c r="Z17" s="347">
        <v>1</v>
      </c>
      <c r="AA17" s="347">
        <v>1</v>
      </c>
      <c r="AB17" s="347">
        <v>1</v>
      </c>
      <c r="AC17" s="347">
        <v>1</v>
      </c>
      <c r="AD17" s="347">
        <v>1</v>
      </c>
      <c r="AE17" s="347">
        <v>1</v>
      </c>
      <c r="AF17" s="347">
        <v>1</v>
      </c>
      <c r="AG17" s="347"/>
      <c r="AH17" s="347"/>
      <c r="AI17" s="348">
        <f t="shared" ref="AI17:AI22" si="1">SUM(C17:AH17)</f>
        <v>30</v>
      </c>
    </row>
    <row r="18" spans="1:35" ht="45" x14ac:dyDescent="0.25">
      <c r="A18" s="337" t="s">
        <v>526</v>
      </c>
      <c r="B18" s="342" t="s">
        <v>58</v>
      </c>
      <c r="C18" s="346">
        <v>0.6</v>
      </c>
      <c r="D18" s="347">
        <v>0.6</v>
      </c>
      <c r="E18" s="347">
        <v>0.6</v>
      </c>
      <c r="F18" s="347">
        <v>0.6</v>
      </c>
      <c r="G18" s="347">
        <v>0.6</v>
      </c>
      <c r="H18" s="347">
        <v>0.7</v>
      </c>
      <c r="I18" s="347">
        <v>0.6</v>
      </c>
      <c r="J18" s="347">
        <v>1.4</v>
      </c>
      <c r="K18" s="347">
        <v>0.6</v>
      </c>
      <c r="L18" s="347">
        <v>0.6</v>
      </c>
      <c r="M18" s="347">
        <v>0.6</v>
      </c>
      <c r="N18" s="347">
        <v>0.6</v>
      </c>
      <c r="O18" s="347">
        <v>0.6</v>
      </c>
      <c r="P18" s="347">
        <v>0.6</v>
      </c>
      <c r="Q18" s="347">
        <v>0.6</v>
      </c>
      <c r="R18" s="347">
        <v>0.6</v>
      </c>
      <c r="S18" s="347">
        <v>2.5</v>
      </c>
      <c r="T18" s="347">
        <v>2.5</v>
      </c>
      <c r="U18" s="347">
        <v>0.6</v>
      </c>
      <c r="V18" s="347">
        <v>0.6</v>
      </c>
      <c r="W18" s="347">
        <v>2.5</v>
      </c>
      <c r="X18" s="347">
        <v>1.4</v>
      </c>
      <c r="Y18" s="347">
        <v>0.7</v>
      </c>
      <c r="Z18" s="347">
        <v>0.7</v>
      </c>
      <c r="AA18" s="347">
        <v>2.6</v>
      </c>
      <c r="AB18" s="347">
        <v>0.6</v>
      </c>
      <c r="AC18" s="347">
        <v>0.6</v>
      </c>
      <c r="AD18" s="347">
        <v>0.6</v>
      </c>
      <c r="AE18" s="347">
        <v>0.6</v>
      </c>
      <c r="AF18" s="347">
        <v>0.6</v>
      </c>
      <c r="AG18" s="347"/>
      <c r="AH18" s="347"/>
      <c r="AI18" s="348">
        <f t="shared" si="1"/>
        <v>27.6</v>
      </c>
    </row>
    <row r="19" spans="1:35" ht="45" x14ac:dyDescent="0.25">
      <c r="A19" s="337" t="s">
        <v>527</v>
      </c>
      <c r="B19" s="342" t="s">
        <v>58</v>
      </c>
      <c r="C19" s="346">
        <v>2</v>
      </c>
      <c r="D19" s="347">
        <v>2</v>
      </c>
      <c r="E19" s="347">
        <v>2</v>
      </c>
      <c r="F19" s="347">
        <v>2</v>
      </c>
      <c r="G19" s="347">
        <v>1.9</v>
      </c>
      <c r="H19" s="347">
        <v>2</v>
      </c>
      <c r="I19" s="347">
        <v>2</v>
      </c>
      <c r="J19" s="347">
        <v>2</v>
      </c>
      <c r="K19" s="347">
        <v>2</v>
      </c>
      <c r="L19" s="347">
        <v>2</v>
      </c>
      <c r="M19" s="347">
        <v>2</v>
      </c>
      <c r="N19" s="347">
        <v>2</v>
      </c>
      <c r="O19" s="347">
        <v>2</v>
      </c>
      <c r="P19" s="347">
        <v>2</v>
      </c>
      <c r="Q19" s="347">
        <v>2</v>
      </c>
      <c r="R19" s="347">
        <v>2</v>
      </c>
      <c r="S19" s="347">
        <v>2</v>
      </c>
      <c r="T19" s="347">
        <v>2</v>
      </c>
      <c r="U19" s="347">
        <v>2</v>
      </c>
      <c r="V19" s="347">
        <v>2</v>
      </c>
      <c r="W19" s="347">
        <v>2</v>
      </c>
      <c r="X19" s="347">
        <v>2</v>
      </c>
      <c r="Y19" s="347">
        <v>2</v>
      </c>
      <c r="Z19" s="347">
        <v>2</v>
      </c>
      <c r="AA19" s="347">
        <v>2</v>
      </c>
      <c r="AB19" s="347">
        <v>2</v>
      </c>
      <c r="AC19" s="347">
        <v>2</v>
      </c>
      <c r="AD19" s="347">
        <v>2</v>
      </c>
      <c r="AE19" s="347">
        <v>2</v>
      </c>
      <c r="AF19" s="347">
        <v>2</v>
      </c>
      <c r="AG19" s="347"/>
      <c r="AH19" s="347"/>
      <c r="AI19" s="348">
        <f t="shared" si="1"/>
        <v>59.9</v>
      </c>
    </row>
    <row r="20" spans="1:35" ht="30" x14ac:dyDescent="0.25">
      <c r="A20" s="337" t="s">
        <v>154</v>
      </c>
      <c r="B20" s="342" t="s">
        <v>14</v>
      </c>
      <c r="C20" s="346">
        <v>1</v>
      </c>
      <c r="D20" s="347">
        <v>1</v>
      </c>
      <c r="E20" s="347">
        <v>1</v>
      </c>
      <c r="F20" s="347">
        <v>1</v>
      </c>
      <c r="G20" s="347">
        <v>1</v>
      </c>
      <c r="H20" s="347">
        <v>1</v>
      </c>
      <c r="I20" s="347">
        <v>1</v>
      </c>
      <c r="J20" s="347">
        <v>2</v>
      </c>
      <c r="K20" s="347">
        <v>1</v>
      </c>
      <c r="L20" s="347">
        <v>1</v>
      </c>
      <c r="M20" s="347">
        <v>1</v>
      </c>
      <c r="N20" s="347">
        <v>1</v>
      </c>
      <c r="O20" s="347">
        <v>1</v>
      </c>
      <c r="P20" s="347">
        <v>3</v>
      </c>
      <c r="Q20" s="347">
        <v>1</v>
      </c>
      <c r="R20" s="347">
        <v>1</v>
      </c>
      <c r="S20" s="347">
        <v>3</v>
      </c>
      <c r="T20" s="347">
        <v>3</v>
      </c>
      <c r="U20" s="347">
        <v>1</v>
      </c>
      <c r="V20" s="347">
        <v>1</v>
      </c>
      <c r="W20" s="347">
        <v>3</v>
      </c>
      <c r="X20" s="347">
        <v>2</v>
      </c>
      <c r="Y20" s="347">
        <v>1</v>
      </c>
      <c r="Z20" s="347">
        <v>1</v>
      </c>
      <c r="AA20" s="347">
        <v>3</v>
      </c>
      <c r="AB20" s="347">
        <v>1</v>
      </c>
      <c r="AC20" s="347">
        <v>1</v>
      </c>
      <c r="AD20" s="347">
        <v>1</v>
      </c>
      <c r="AE20" s="347">
        <v>1</v>
      </c>
      <c r="AF20" s="347">
        <v>1</v>
      </c>
      <c r="AG20" s="347"/>
      <c r="AH20" s="347"/>
      <c r="AI20" s="348">
        <f t="shared" si="1"/>
        <v>42</v>
      </c>
    </row>
    <row r="21" spans="1:35" ht="30" x14ac:dyDescent="0.25">
      <c r="A21" s="337" t="s">
        <v>159</v>
      </c>
      <c r="B21" s="342" t="s">
        <v>14</v>
      </c>
      <c r="C21" s="346">
        <v>1</v>
      </c>
      <c r="D21" s="347">
        <v>1</v>
      </c>
      <c r="E21" s="347">
        <v>1</v>
      </c>
      <c r="F21" s="347">
        <v>1</v>
      </c>
      <c r="G21" s="347">
        <v>1</v>
      </c>
      <c r="H21" s="347">
        <v>1</v>
      </c>
      <c r="I21" s="347">
        <v>1</v>
      </c>
      <c r="J21" s="347">
        <v>1</v>
      </c>
      <c r="K21" s="347">
        <v>1</v>
      </c>
      <c r="L21" s="347">
        <v>1</v>
      </c>
      <c r="M21" s="347">
        <v>1</v>
      </c>
      <c r="N21" s="347">
        <v>1</v>
      </c>
      <c r="O21" s="347">
        <v>1</v>
      </c>
      <c r="P21" s="347">
        <v>1</v>
      </c>
      <c r="Q21" s="347">
        <v>1</v>
      </c>
      <c r="R21" s="347">
        <v>1</v>
      </c>
      <c r="S21" s="347">
        <v>1</v>
      </c>
      <c r="T21" s="347">
        <v>1</v>
      </c>
      <c r="U21" s="347">
        <v>1</v>
      </c>
      <c r="V21" s="347">
        <v>1</v>
      </c>
      <c r="W21" s="347">
        <v>1</v>
      </c>
      <c r="X21" s="347">
        <v>1</v>
      </c>
      <c r="Y21" s="347">
        <v>1</v>
      </c>
      <c r="Z21" s="347">
        <v>1</v>
      </c>
      <c r="AA21" s="347">
        <v>1</v>
      </c>
      <c r="AB21" s="347">
        <v>1</v>
      </c>
      <c r="AC21" s="347">
        <v>1</v>
      </c>
      <c r="AD21" s="347">
        <v>1</v>
      </c>
      <c r="AE21" s="347">
        <v>1</v>
      </c>
      <c r="AF21" s="347">
        <v>1</v>
      </c>
      <c r="AG21" s="347"/>
      <c r="AH21" s="347"/>
      <c r="AI21" s="348">
        <f t="shared" si="1"/>
        <v>30</v>
      </c>
    </row>
    <row r="22" spans="1:35" ht="75" x14ac:dyDescent="0.25">
      <c r="A22" s="337" t="s">
        <v>528</v>
      </c>
      <c r="B22" s="342" t="s">
        <v>54</v>
      </c>
      <c r="C22" s="346">
        <v>0.7</v>
      </c>
      <c r="D22" s="347">
        <v>0.7</v>
      </c>
      <c r="E22" s="347">
        <v>0.7</v>
      </c>
      <c r="F22" s="347">
        <v>0.7</v>
      </c>
      <c r="G22" s="347">
        <v>0.7</v>
      </c>
      <c r="H22" s="347">
        <v>0.7</v>
      </c>
      <c r="I22" s="347">
        <v>0.7</v>
      </c>
      <c r="J22" s="347">
        <v>0.7</v>
      </c>
      <c r="K22" s="347">
        <v>0.7</v>
      </c>
      <c r="L22" s="347">
        <v>0.7</v>
      </c>
      <c r="M22" s="347">
        <v>0.7</v>
      </c>
      <c r="N22" s="347">
        <v>0.7</v>
      </c>
      <c r="O22" s="347">
        <v>0.7</v>
      </c>
      <c r="P22" s="347">
        <v>0.7</v>
      </c>
      <c r="Q22" s="347">
        <v>0.7</v>
      </c>
      <c r="R22" s="347">
        <v>0.7</v>
      </c>
      <c r="S22" s="347">
        <v>0.7</v>
      </c>
      <c r="T22" s="347">
        <v>0.7</v>
      </c>
      <c r="U22" s="347">
        <v>0.7</v>
      </c>
      <c r="V22" s="347">
        <v>0.7</v>
      </c>
      <c r="W22" s="347">
        <v>0.7</v>
      </c>
      <c r="X22" s="347">
        <v>0.7</v>
      </c>
      <c r="Y22" s="347">
        <v>0.7</v>
      </c>
      <c r="Z22" s="347">
        <v>0.7</v>
      </c>
      <c r="AA22" s="347">
        <v>0.7</v>
      </c>
      <c r="AB22" s="347">
        <v>0.7</v>
      </c>
      <c r="AC22" s="347">
        <v>0.7</v>
      </c>
      <c r="AD22" s="347">
        <v>0.7</v>
      </c>
      <c r="AE22" s="347">
        <v>0.7</v>
      </c>
      <c r="AF22" s="347">
        <v>0.7</v>
      </c>
      <c r="AG22" s="347"/>
      <c r="AH22" s="347"/>
      <c r="AI22" s="348">
        <f t="shared" si="1"/>
        <v>21</v>
      </c>
    </row>
    <row r="23" spans="1:35" ht="15.75" thickBot="1" x14ac:dyDescent="0.3">
      <c r="A23" s="338"/>
      <c r="B23" s="343"/>
      <c r="C23" s="346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</row>
    <row r="25" spans="1:35" x14ac:dyDescent="0.25">
      <c r="A25" s="358" t="s">
        <v>654</v>
      </c>
    </row>
    <row r="26" spans="1:35" ht="15.75" thickBot="1" x14ac:dyDescent="0.3"/>
    <row r="27" spans="1:35" ht="15.75" thickBot="1" x14ac:dyDescent="0.3">
      <c r="A27" s="334" t="s">
        <v>529</v>
      </c>
      <c r="B27" s="340"/>
      <c r="C27" s="339" t="s">
        <v>655</v>
      </c>
      <c r="D27" s="333" t="s">
        <v>656</v>
      </c>
      <c r="E27" s="339" t="s">
        <v>657</v>
      </c>
      <c r="F27" s="333" t="s">
        <v>658</v>
      </c>
      <c r="G27" s="339" t="s">
        <v>659</v>
      </c>
      <c r="H27" s="333" t="s">
        <v>660</v>
      </c>
      <c r="I27" s="339" t="s">
        <v>661</v>
      </c>
      <c r="J27" s="333" t="s">
        <v>662</v>
      </c>
      <c r="K27" s="339" t="s">
        <v>663</v>
      </c>
      <c r="L27" s="333" t="s">
        <v>664</v>
      </c>
      <c r="M27" s="339" t="s">
        <v>665</v>
      </c>
      <c r="N27" s="333" t="s">
        <v>666</v>
      </c>
      <c r="O27" s="339" t="s">
        <v>667</v>
      </c>
      <c r="P27" s="333" t="s">
        <v>668</v>
      </c>
      <c r="Q27" s="339" t="s">
        <v>669</v>
      </c>
      <c r="R27" s="333" t="s">
        <v>670</v>
      </c>
      <c r="S27" s="339" t="s">
        <v>671</v>
      </c>
      <c r="T27" s="333" t="s">
        <v>672</v>
      </c>
      <c r="U27" s="339" t="s">
        <v>673</v>
      </c>
      <c r="V27" s="333" t="s">
        <v>674</v>
      </c>
      <c r="W27" s="339" t="s">
        <v>675</v>
      </c>
      <c r="X27" s="333" t="s">
        <v>676</v>
      </c>
      <c r="Y27" s="339" t="s">
        <v>677</v>
      </c>
      <c r="Z27" s="333" t="s">
        <v>678</v>
      </c>
      <c r="AA27" s="339" t="s">
        <v>679</v>
      </c>
      <c r="AB27" s="333" t="s">
        <v>680</v>
      </c>
      <c r="AC27" s="339" t="s">
        <v>681</v>
      </c>
      <c r="AD27" s="333" t="s">
        <v>682</v>
      </c>
      <c r="AE27" s="339" t="s">
        <v>683</v>
      </c>
      <c r="AF27" s="333"/>
      <c r="AG27" s="333"/>
      <c r="AH27" s="333"/>
      <c r="AI27" s="349" t="s">
        <v>423</v>
      </c>
    </row>
    <row r="28" spans="1:35" x14ac:dyDescent="0.25">
      <c r="A28" s="335" t="s">
        <v>524</v>
      </c>
      <c r="B28" s="341" t="s">
        <v>14</v>
      </c>
      <c r="C28" s="344">
        <v>1</v>
      </c>
      <c r="D28" s="345">
        <v>1</v>
      </c>
      <c r="E28" s="345">
        <v>1</v>
      </c>
      <c r="F28" s="345">
        <v>1</v>
      </c>
      <c r="G28" s="345">
        <v>1</v>
      </c>
      <c r="H28" s="345">
        <v>1</v>
      </c>
      <c r="I28" s="345">
        <v>1</v>
      </c>
      <c r="J28" s="345">
        <v>1</v>
      </c>
      <c r="K28" s="345">
        <v>1</v>
      </c>
      <c r="L28" s="345">
        <v>1</v>
      </c>
      <c r="M28" s="345">
        <v>1</v>
      </c>
      <c r="N28" s="345">
        <v>1</v>
      </c>
      <c r="O28" s="345">
        <v>1</v>
      </c>
      <c r="P28" s="345">
        <v>1</v>
      </c>
      <c r="Q28" s="345">
        <v>1</v>
      </c>
      <c r="R28" s="345">
        <v>1</v>
      </c>
      <c r="S28" s="345">
        <v>1</v>
      </c>
      <c r="T28" s="345">
        <v>1</v>
      </c>
      <c r="U28" s="345">
        <v>1</v>
      </c>
      <c r="V28" s="345">
        <v>1</v>
      </c>
      <c r="W28" s="345">
        <v>1</v>
      </c>
      <c r="X28" s="345">
        <v>1</v>
      </c>
      <c r="Y28" s="345">
        <v>1</v>
      </c>
      <c r="Z28" s="345">
        <v>1</v>
      </c>
      <c r="AA28" s="345">
        <v>1</v>
      </c>
      <c r="AB28" s="345">
        <v>1</v>
      </c>
      <c r="AC28" s="345">
        <v>1</v>
      </c>
      <c r="AD28" s="345">
        <v>1</v>
      </c>
      <c r="AE28" s="345">
        <v>1</v>
      </c>
      <c r="AF28" s="345"/>
      <c r="AG28" s="345"/>
      <c r="AH28" s="345"/>
      <c r="AI28" s="348">
        <f>SUM(C28:AH28)</f>
        <v>29</v>
      </c>
    </row>
    <row r="29" spans="1:35" x14ac:dyDescent="0.25">
      <c r="A29" s="336" t="s">
        <v>525</v>
      </c>
      <c r="B29" s="342" t="s">
        <v>58</v>
      </c>
      <c r="C29" s="346">
        <v>1</v>
      </c>
      <c r="D29" s="347">
        <v>1</v>
      </c>
      <c r="E29" s="347">
        <v>1</v>
      </c>
      <c r="F29" s="347">
        <v>1</v>
      </c>
      <c r="G29" s="347">
        <v>1</v>
      </c>
      <c r="H29" s="347">
        <v>1</v>
      </c>
      <c r="I29" s="347">
        <v>1</v>
      </c>
      <c r="J29" s="347">
        <v>1</v>
      </c>
      <c r="K29" s="347">
        <v>1</v>
      </c>
      <c r="L29" s="347">
        <v>1</v>
      </c>
      <c r="M29" s="347">
        <v>1</v>
      </c>
      <c r="N29" s="347">
        <v>1</v>
      </c>
      <c r="O29" s="347">
        <v>1</v>
      </c>
      <c r="P29" s="347">
        <v>1</v>
      </c>
      <c r="Q29" s="347">
        <v>1</v>
      </c>
      <c r="R29" s="347">
        <v>1</v>
      </c>
      <c r="S29" s="347">
        <v>1</v>
      </c>
      <c r="T29" s="347">
        <v>1</v>
      </c>
      <c r="U29" s="347">
        <v>1</v>
      </c>
      <c r="V29" s="347">
        <v>1</v>
      </c>
      <c r="W29" s="347">
        <v>1</v>
      </c>
      <c r="X29" s="347">
        <v>1</v>
      </c>
      <c r="Y29" s="347">
        <v>1</v>
      </c>
      <c r="Z29" s="347">
        <v>1</v>
      </c>
      <c r="AA29" s="347">
        <v>1</v>
      </c>
      <c r="AB29" s="347">
        <v>1</v>
      </c>
      <c r="AC29" s="347">
        <v>1</v>
      </c>
      <c r="AD29" s="347">
        <v>1</v>
      </c>
      <c r="AE29" s="347">
        <v>1</v>
      </c>
      <c r="AF29" s="347"/>
      <c r="AG29" s="347"/>
      <c r="AH29" s="347"/>
      <c r="AI29" s="348">
        <f t="shared" ref="AI29:AI34" si="2">SUM(C29:AH29)</f>
        <v>29</v>
      </c>
    </row>
    <row r="30" spans="1:35" ht="45" x14ac:dyDescent="0.25">
      <c r="A30" s="337" t="s">
        <v>526</v>
      </c>
      <c r="B30" s="342" t="s">
        <v>58</v>
      </c>
      <c r="C30" s="346">
        <v>0.6</v>
      </c>
      <c r="D30" s="347">
        <v>0.6</v>
      </c>
      <c r="E30" s="347">
        <v>0.6</v>
      </c>
      <c r="F30" s="347">
        <v>0.6</v>
      </c>
      <c r="G30" s="347">
        <v>0.6</v>
      </c>
      <c r="H30" s="347">
        <v>2.6</v>
      </c>
      <c r="I30" s="347">
        <v>2.8</v>
      </c>
      <c r="J30" s="347">
        <v>2.4</v>
      </c>
      <c r="K30" s="347">
        <v>2.5</v>
      </c>
      <c r="L30" s="347">
        <v>0.6</v>
      </c>
      <c r="M30" s="347">
        <v>0.6</v>
      </c>
      <c r="N30" s="347">
        <v>2.5</v>
      </c>
      <c r="O30" s="347">
        <v>2.5</v>
      </c>
      <c r="P30" s="347">
        <v>0.6</v>
      </c>
      <c r="Q30" s="347">
        <v>0.6</v>
      </c>
      <c r="R30" s="347">
        <v>0.6</v>
      </c>
      <c r="S30" s="347">
        <v>0.6</v>
      </c>
      <c r="T30" s="347">
        <v>0.6</v>
      </c>
      <c r="U30" s="347">
        <v>0.6</v>
      </c>
      <c r="V30" s="347">
        <v>0.6</v>
      </c>
      <c r="W30" s="347">
        <v>0.6</v>
      </c>
      <c r="X30" s="347">
        <v>1.4</v>
      </c>
      <c r="Y30" s="347">
        <v>0.6</v>
      </c>
      <c r="Z30" s="347">
        <v>0.7</v>
      </c>
      <c r="AA30" s="347">
        <v>0.6</v>
      </c>
      <c r="AB30" s="347">
        <v>0.6</v>
      </c>
      <c r="AC30" s="347">
        <v>0.6</v>
      </c>
      <c r="AD30" s="347">
        <v>0.6</v>
      </c>
      <c r="AE30" s="347">
        <v>0.6</v>
      </c>
      <c r="AF30" s="347"/>
      <c r="AG30" s="347"/>
      <c r="AH30" s="347"/>
      <c r="AI30" s="348">
        <f t="shared" si="2"/>
        <v>30</v>
      </c>
    </row>
    <row r="31" spans="1:35" ht="45" x14ac:dyDescent="0.25">
      <c r="A31" s="337" t="s">
        <v>527</v>
      </c>
      <c r="B31" s="342" t="s">
        <v>58</v>
      </c>
      <c r="C31" s="346">
        <v>2</v>
      </c>
      <c r="D31" s="347">
        <v>2</v>
      </c>
      <c r="E31" s="347">
        <v>2</v>
      </c>
      <c r="F31" s="347">
        <v>2</v>
      </c>
      <c r="G31" s="347">
        <v>2</v>
      </c>
      <c r="H31" s="347">
        <v>2</v>
      </c>
      <c r="I31" s="347">
        <v>2</v>
      </c>
      <c r="J31" s="347">
        <v>2</v>
      </c>
      <c r="K31" s="347">
        <v>2</v>
      </c>
      <c r="L31" s="347">
        <v>2</v>
      </c>
      <c r="M31" s="347">
        <v>2</v>
      </c>
      <c r="N31" s="347">
        <v>2</v>
      </c>
      <c r="O31" s="347">
        <v>2</v>
      </c>
      <c r="P31" s="347">
        <v>2</v>
      </c>
      <c r="Q31" s="347">
        <v>2</v>
      </c>
      <c r="R31" s="347">
        <v>2</v>
      </c>
      <c r="S31" s="347">
        <v>2</v>
      </c>
      <c r="T31" s="347">
        <v>2</v>
      </c>
      <c r="U31" s="347">
        <v>2</v>
      </c>
      <c r="V31" s="347">
        <v>2</v>
      </c>
      <c r="W31" s="347">
        <v>2</v>
      </c>
      <c r="X31" s="347">
        <v>2</v>
      </c>
      <c r="Y31" s="347">
        <v>2</v>
      </c>
      <c r="Z31" s="347">
        <v>2</v>
      </c>
      <c r="AA31" s="347">
        <v>1.9</v>
      </c>
      <c r="AB31" s="347">
        <v>2</v>
      </c>
      <c r="AC31" s="347">
        <v>2</v>
      </c>
      <c r="AD31" s="347">
        <v>2</v>
      </c>
      <c r="AE31" s="347">
        <v>2</v>
      </c>
      <c r="AF31" s="347"/>
      <c r="AG31" s="347"/>
      <c r="AH31" s="347"/>
      <c r="AI31" s="348">
        <f t="shared" si="2"/>
        <v>57.9</v>
      </c>
    </row>
    <row r="32" spans="1:35" ht="30" x14ac:dyDescent="0.25">
      <c r="A32" s="337" t="s">
        <v>154</v>
      </c>
      <c r="B32" s="342" t="s">
        <v>14</v>
      </c>
      <c r="C32" s="346">
        <v>1</v>
      </c>
      <c r="D32" s="347">
        <v>1</v>
      </c>
      <c r="E32" s="347">
        <v>1</v>
      </c>
      <c r="F32" s="347">
        <v>1</v>
      </c>
      <c r="G32" s="347">
        <v>1</v>
      </c>
      <c r="H32" s="347">
        <v>3</v>
      </c>
      <c r="I32" s="347">
        <v>2</v>
      </c>
      <c r="J32" s="347">
        <v>2</v>
      </c>
      <c r="K32" s="347">
        <v>3</v>
      </c>
      <c r="L32" s="347">
        <v>1</v>
      </c>
      <c r="M32" s="347">
        <v>1</v>
      </c>
      <c r="N32" s="347">
        <v>3</v>
      </c>
      <c r="O32" s="347">
        <v>3</v>
      </c>
      <c r="P32" s="347">
        <v>1</v>
      </c>
      <c r="Q32" s="347">
        <v>1</v>
      </c>
      <c r="R32" s="347">
        <v>1</v>
      </c>
      <c r="S32" s="347">
        <v>1</v>
      </c>
      <c r="T32" s="347">
        <v>1</v>
      </c>
      <c r="U32" s="347">
        <v>1</v>
      </c>
      <c r="V32" s="347">
        <v>1</v>
      </c>
      <c r="W32" s="347">
        <v>1</v>
      </c>
      <c r="X32" s="347">
        <v>2</v>
      </c>
      <c r="Y32" s="347">
        <v>1</v>
      </c>
      <c r="Z32" s="347">
        <v>1</v>
      </c>
      <c r="AA32" s="347">
        <v>1</v>
      </c>
      <c r="AB32" s="347">
        <v>1</v>
      </c>
      <c r="AC32" s="347">
        <v>1</v>
      </c>
      <c r="AD32" s="347">
        <v>1</v>
      </c>
      <c r="AE32" s="347">
        <v>1</v>
      </c>
      <c r="AF32" s="347"/>
      <c r="AG32" s="347"/>
      <c r="AH32" s="347"/>
      <c r="AI32" s="348">
        <f t="shared" si="2"/>
        <v>40</v>
      </c>
    </row>
    <row r="33" spans="1:35" ht="30" x14ac:dyDescent="0.25">
      <c r="A33" s="337" t="s">
        <v>159</v>
      </c>
      <c r="B33" s="342" t="s">
        <v>14</v>
      </c>
      <c r="C33" s="346">
        <v>1</v>
      </c>
      <c r="D33" s="347">
        <v>1</v>
      </c>
      <c r="E33" s="347">
        <v>1</v>
      </c>
      <c r="F33" s="347">
        <v>1</v>
      </c>
      <c r="G33" s="347">
        <v>1</v>
      </c>
      <c r="H33" s="347">
        <v>1</v>
      </c>
      <c r="I33" s="347">
        <v>1</v>
      </c>
      <c r="J33" s="347">
        <v>1</v>
      </c>
      <c r="K33" s="347">
        <v>1</v>
      </c>
      <c r="L33" s="347">
        <v>1</v>
      </c>
      <c r="M33" s="347">
        <v>1</v>
      </c>
      <c r="N33" s="347">
        <v>1</v>
      </c>
      <c r="O33" s="347">
        <v>1</v>
      </c>
      <c r="P33" s="347">
        <v>1</v>
      </c>
      <c r="Q33" s="347">
        <v>1</v>
      </c>
      <c r="R33" s="347">
        <v>1</v>
      </c>
      <c r="S33" s="347">
        <v>1</v>
      </c>
      <c r="T33" s="347">
        <v>1</v>
      </c>
      <c r="U33" s="347">
        <v>1</v>
      </c>
      <c r="V33" s="347">
        <v>1</v>
      </c>
      <c r="W33" s="347">
        <v>1</v>
      </c>
      <c r="X33" s="347">
        <v>1</v>
      </c>
      <c r="Y33" s="347">
        <v>1</v>
      </c>
      <c r="Z33" s="347">
        <v>1</v>
      </c>
      <c r="AA33" s="347">
        <v>1</v>
      </c>
      <c r="AB33" s="347">
        <v>1</v>
      </c>
      <c r="AC33" s="347">
        <v>1</v>
      </c>
      <c r="AD33" s="347">
        <v>1</v>
      </c>
      <c r="AE33" s="347">
        <v>1</v>
      </c>
      <c r="AF33" s="347"/>
      <c r="AG33" s="347"/>
      <c r="AH33" s="347"/>
      <c r="AI33" s="348">
        <f t="shared" si="2"/>
        <v>29</v>
      </c>
    </row>
    <row r="34" spans="1:35" ht="75" x14ac:dyDescent="0.25">
      <c r="A34" s="337" t="s">
        <v>528</v>
      </c>
      <c r="B34" s="342" t="s">
        <v>54</v>
      </c>
      <c r="C34" s="346">
        <v>0.7</v>
      </c>
      <c r="D34" s="347">
        <v>0.7</v>
      </c>
      <c r="E34" s="347">
        <v>0.7</v>
      </c>
      <c r="F34" s="347">
        <v>0.7</v>
      </c>
      <c r="G34" s="347">
        <v>0.7</v>
      </c>
      <c r="H34" s="347">
        <v>0.7</v>
      </c>
      <c r="I34" s="347">
        <v>0.7</v>
      </c>
      <c r="J34" s="347">
        <v>0.7</v>
      </c>
      <c r="K34" s="347">
        <v>0.7</v>
      </c>
      <c r="L34" s="347">
        <v>0.7</v>
      </c>
      <c r="M34" s="347">
        <v>0.7</v>
      </c>
      <c r="N34" s="347">
        <v>0.7</v>
      </c>
      <c r="O34" s="347">
        <v>0.7</v>
      </c>
      <c r="P34" s="347">
        <v>0.7</v>
      </c>
      <c r="Q34" s="347">
        <v>0.7</v>
      </c>
      <c r="R34" s="347">
        <v>0.7</v>
      </c>
      <c r="S34" s="347">
        <v>0.7</v>
      </c>
      <c r="T34" s="347">
        <v>0.7</v>
      </c>
      <c r="U34" s="347">
        <v>0.7</v>
      </c>
      <c r="V34" s="347">
        <v>0.7</v>
      </c>
      <c r="W34" s="347">
        <v>0.7</v>
      </c>
      <c r="X34" s="347">
        <v>0.7</v>
      </c>
      <c r="Y34" s="347">
        <v>0.7</v>
      </c>
      <c r="Z34" s="347">
        <v>0.7</v>
      </c>
      <c r="AA34" s="347">
        <v>0.7</v>
      </c>
      <c r="AB34" s="347">
        <v>0.7</v>
      </c>
      <c r="AC34" s="347">
        <v>0.7</v>
      </c>
      <c r="AD34" s="347">
        <v>0.7</v>
      </c>
      <c r="AE34" s="347">
        <v>0.7</v>
      </c>
      <c r="AF34" s="347"/>
      <c r="AG34" s="347"/>
      <c r="AH34" s="347"/>
      <c r="AI34" s="348">
        <f t="shared" si="2"/>
        <v>20.3</v>
      </c>
    </row>
    <row r="35" spans="1:35" ht="15.75" thickBot="1" x14ac:dyDescent="0.3">
      <c r="A35" s="338"/>
      <c r="B35" s="343"/>
      <c r="C35" s="346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</row>
    <row r="37" spans="1:35" x14ac:dyDescent="0.25">
      <c r="A37" s="359" t="s">
        <v>750</v>
      </c>
    </row>
    <row r="38" spans="1:35" ht="15.75" thickBot="1" x14ac:dyDescent="0.3"/>
    <row r="39" spans="1:35" ht="15.75" thickBot="1" x14ac:dyDescent="0.3">
      <c r="A39" s="334" t="s">
        <v>529</v>
      </c>
      <c r="B39" s="340"/>
      <c r="C39" s="339" t="s">
        <v>530</v>
      </c>
      <c r="D39" s="333" t="s">
        <v>531</v>
      </c>
      <c r="E39" s="333" t="s">
        <v>532</v>
      </c>
      <c r="F39" s="333" t="s">
        <v>533</v>
      </c>
      <c r="G39" s="333" t="s">
        <v>534</v>
      </c>
      <c r="H39" s="333" t="s">
        <v>535</v>
      </c>
      <c r="I39" s="333" t="s">
        <v>536</v>
      </c>
      <c r="J39" s="333" t="s">
        <v>537</v>
      </c>
      <c r="K39" s="333" t="s">
        <v>538</v>
      </c>
      <c r="L39" s="333" t="s">
        <v>539</v>
      </c>
      <c r="M39" s="333" t="s">
        <v>540</v>
      </c>
      <c r="N39" s="333" t="s">
        <v>541</v>
      </c>
      <c r="O39" s="333" t="s">
        <v>542</v>
      </c>
      <c r="P39" s="333" t="s">
        <v>543</v>
      </c>
      <c r="Q39" s="333" t="s">
        <v>544</v>
      </c>
      <c r="R39" s="333" t="s">
        <v>545</v>
      </c>
      <c r="S39" s="333" t="s">
        <v>546</v>
      </c>
      <c r="T39" s="333" t="s">
        <v>547</v>
      </c>
      <c r="U39" s="333" t="s">
        <v>548</v>
      </c>
      <c r="V39" s="333" t="s">
        <v>549</v>
      </c>
      <c r="W39" s="333" t="s">
        <v>550</v>
      </c>
      <c r="X39" s="333" t="s">
        <v>551</v>
      </c>
      <c r="Y39" s="333" t="s">
        <v>552</v>
      </c>
      <c r="Z39" s="333" t="s">
        <v>553</v>
      </c>
      <c r="AA39" s="333" t="s">
        <v>554</v>
      </c>
      <c r="AB39" s="333" t="s">
        <v>555</v>
      </c>
      <c r="AC39" s="333" t="s">
        <v>556</v>
      </c>
      <c r="AD39" s="333" t="s">
        <v>557</v>
      </c>
      <c r="AE39" s="333" t="s">
        <v>558</v>
      </c>
      <c r="AF39" s="333" t="s">
        <v>559</v>
      </c>
      <c r="AG39" s="333" t="s">
        <v>560</v>
      </c>
      <c r="AH39" s="333" t="s">
        <v>561</v>
      </c>
      <c r="AI39" s="349" t="s">
        <v>423</v>
      </c>
    </row>
    <row r="40" spans="1:35" x14ac:dyDescent="0.25">
      <c r="A40" s="335" t="s">
        <v>524</v>
      </c>
      <c r="B40" s="341" t="s">
        <v>14</v>
      </c>
      <c r="C40" s="344">
        <v>1</v>
      </c>
      <c r="D40" s="345">
        <v>1</v>
      </c>
      <c r="E40" s="345">
        <v>1</v>
      </c>
      <c r="F40" s="345">
        <v>1</v>
      </c>
      <c r="G40" s="345">
        <v>1</v>
      </c>
      <c r="H40" s="345">
        <v>1</v>
      </c>
      <c r="I40" s="345">
        <v>1</v>
      </c>
      <c r="J40" s="345">
        <v>1</v>
      </c>
      <c r="K40" s="345">
        <v>1</v>
      </c>
      <c r="L40" s="345">
        <v>1</v>
      </c>
      <c r="M40" s="345">
        <v>1</v>
      </c>
      <c r="N40" s="345">
        <v>1</v>
      </c>
      <c r="O40" s="345">
        <v>1</v>
      </c>
      <c r="P40" s="345">
        <v>1</v>
      </c>
      <c r="Q40" s="345">
        <v>1</v>
      </c>
      <c r="R40" s="345">
        <v>1</v>
      </c>
      <c r="S40" s="345">
        <v>1</v>
      </c>
      <c r="T40" s="345">
        <v>1</v>
      </c>
      <c r="U40" s="345">
        <v>1</v>
      </c>
      <c r="V40" s="345">
        <v>1</v>
      </c>
      <c r="W40" s="345">
        <v>1</v>
      </c>
      <c r="X40" s="345">
        <v>1</v>
      </c>
      <c r="Y40" s="345">
        <v>1</v>
      </c>
      <c r="Z40" s="345">
        <v>1</v>
      </c>
      <c r="AA40" s="345">
        <v>1</v>
      </c>
      <c r="AB40" s="345">
        <v>1</v>
      </c>
      <c r="AC40" s="345">
        <v>1</v>
      </c>
      <c r="AD40" s="345">
        <v>1</v>
      </c>
      <c r="AE40" s="345">
        <v>1</v>
      </c>
      <c r="AF40" s="345">
        <v>1</v>
      </c>
      <c r="AG40" s="345">
        <v>1</v>
      </c>
      <c r="AH40" s="345">
        <v>1</v>
      </c>
      <c r="AI40" s="348">
        <f>SUM(C40:AH40)</f>
        <v>32</v>
      </c>
    </row>
    <row r="41" spans="1:35" x14ac:dyDescent="0.25">
      <c r="A41" s="336" t="s">
        <v>525</v>
      </c>
      <c r="B41" s="342" t="s">
        <v>58</v>
      </c>
      <c r="C41" s="346">
        <v>1</v>
      </c>
      <c r="D41" s="347">
        <v>1</v>
      </c>
      <c r="E41" s="347">
        <v>1</v>
      </c>
      <c r="F41" s="347">
        <v>1</v>
      </c>
      <c r="G41" s="347">
        <v>1</v>
      </c>
      <c r="H41" s="347">
        <v>1</v>
      </c>
      <c r="I41" s="347">
        <v>1</v>
      </c>
      <c r="J41" s="347">
        <v>1</v>
      </c>
      <c r="K41" s="347">
        <v>1</v>
      </c>
      <c r="L41" s="347">
        <v>1</v>
      </c>
      <c r="M41" s="347">
        <v>1</v>
      </c>
      <c r="N41" s="347">
        <v>1</v>
      </c>
      <c r="O41" s="347">
        <v>1</v>
      </c>
      <c r="P41" s="347">
        <v>1</v>
      </c>
      <c r="Q41" s="347">
        <v>1</v>
      </c>
      <c r="R41" s="347">
        <v>1</v>
      </c>
      <c r="S41" s="347">
        <v>1</v>
      </c>
      <c r="T41" s="347">
        <v>1</v>
      </c>
      <c r="U41" s="347">
        <v>1</v>
      </c>
      <c r="V41" s="347">
        <v>1</v>
      </c>
      <c r="W41" s="347">
        <v>1</v>
      </c>
      <c r="X41" s="347">
        <v>1</v>
      </c>
      <c r="Y41" s="347">
        <v>1</v>
      </c>
      <c r="Z41" s="347">
        <v>1</v>
      </c>
      <c r="AA41" s="347">
        <v>1</v>
      </c>
      <c r="AB41" s="347">
        <v>1</v>
      </c>
      <c r="AC41" s="347">
        <v>1</v>
      </c>
      <c r="AD41" s="347">
        <v>1</v>
      </c>
      <c r="AE41" s="347">
        <v>1</v>
      </c>
      <c r="AF41" s="347">
        <v>1</v>
      </c>
      <c r="AG41" s="347">
        <v>1</v>
      </c>
      <c r="AH41" s="347">
        <v>1</v>
      </c>
      <c r="AI41" s="348">
        <f t="shared" ref="AI41:AI46" si="3">SUM(C41:AH41)</f>
        <v>32</v>
      </c>
    </row>
    <row r="42" spans="1:35" ht="45" x14ac:dyDescent="0.25">
      <c r="A42" s="337" t="s">
        <v>526</v>
      </c>
      <c r="B42" s="342" t="s">
        <v>58</v>
      </c>
      <c r="C42" s="346">
        <v>0.6</v>
      </c>
      <c r="D42" s="347">
        <v>2.6</v>
      </c>
      <c r="E42" s="347">
        <v>0.6</v>
      </c>
      <c r="F42" s="347">
        <v>2.5</v>
      </c>
      <c r="G42" s="347">
        <v>0.7</v>
      </c>
      <c r="H42" s="347">
        <v>0.7</v>
      </c>
      <c r="I42" s="347">
        <v>1.4</v>
      </c>
      <c r="J42" s="347">
        <v>0.6</v>
      </c>
      <c r="K42" s="347">
        <v>0.6</v>
      </c>
      <c r="L42" s="347">
        <v>0.6</v>
      </c>
      <c r="M42" s="347">
        <v>0.6</v>
      </c>
      <c r="N42" s="347">
        <v>0.6</v>
      </c>
      <c r="O42" s="347">
        <v>0.6</v>
      </c>
      <c r="P42" s="347">
        <v>0.6</v>
      </c>
      <c r="Q42" s="347">
        <v>0.6</v>
      </c>
      <c r="R42" s="347">
        <v>0.6</v>
      </c>
      <c r="S42" s="347">
        <v>0.6</v>
      </c>
      <c r="T42" s="347">
        <v>0.6</v>
      </c>
      <c r="U42" s="347">
        <v>1.7</v>
      </c>
      <c r="V42" s="347">
        <v>0.6</v>
      </c>
      <c r="W42" s="347">
        <v>0.6</v>
      </c>
      <c r="X42" s="347">
        <v>0.5</v>
      </c>
      <c r="Y42" s="347">
        <v>0.6</v>
      </c>
      <c r="Z42" s="347">
        <v>0.6</v>
      </c>
      <c r="AA42" s="347">
        <v>0.6</v>
      </c>
      <c r="AB42" s="347">
        <v>2.6</v>
      </c>
      <c r="AC42" s="347">
        <v>2.6</v>
      </c>
      <c r="AD42" s="347">
        <v>0.6</v>
      </c>
      <c r="AE42" s="347">
        <v>2.6</v>
      </c>
      <c r="AF42" s="347">
        <v>0.6</v>
      </c>
      <c r="AG42" s="347">
        <v>0.6</v>
      </c>
      <c r="AH42" s="347">
        <v>0.6</v>
      </c>
      <c r="AI42" s="348">
        <f t="shared" si="3"/>
        <v>31.1</v>
      </c>
    </row>
    <row r="43" spans="1:35" ht="45" x14ac:dyDescent="0.25">
      <c r="A43" s="337" t="s">
        <v>527</v>
      </c>
      <c r="B43" s="342" t="s">
        <v>58</v>
      </c>
      <c r="C43" s="346">
        <v>2</v>
      </c>
      <c r="D43" s="347">
        <v>2</v>
      </c>
      <c r="E43" s="347">
        <v>2</v>
      </c>
      <c r="F43" s="347">
        <v>2</v>
      </c>
      <c r="G43" s="347">
        <v>2</v>
      </c>
      <c r="H43" s="347">
        <v>2</v>
      </c>
      <c r="I43" s="347">
        <v>1.9</v>
      </c>
      <c r="J43" s="347">
        <v>2</v>
      </c>
      <c r="K43" s="347">
        <v>2</v>
      </c>
      <c r="L43" s="347">
        <v>2</v>
      </c>
      <c r="M43" s="347">
        <v>2</v>
      </c>
      <c r="N43" s="347">
        <v>2</v>
      </c>
      <c r="O43" s="347">
        <v>2</v>
      </c>
      <c r="P43" s="347">
        <v>2</v>
      </c>
      <c r="Q43" s="347">
        <v>2</v>
      </c>
      <c r="R43" s="347">
        <v>2</v>
      </c>
      <c r="S43" s="347">
        <v>2</v>
      </c>
      <c r="T43" s="347">
        <v>2</v>
      </c>
      <c r="U43" s="347">
        <v>2</v>
      </c>
      <c r="V43" s="347">
        <v>2</v>
      </c>
      <c r="W43" s="347">
        <v>2</v>
      </c>
      <c r="X43" s="347">
        <v>2</v>
      </c>
      <c r="Y43" s="347">
        <v>2</v>
      </c>
      <c r="Z43" s="347">
        <v>2</v>
      </c>
      <c r="AA43" s="347">
        <v>2</v>
      </c>
      <c r="AB43" s="347">
        <v>2</v>
      </c>
      <c r="AC43" s="347">
        <v>2</v>
      </c>
      <c r="AD43" s="347">
        <v>2</v>
      </c>
      <c r="AE43" s="347">
        <v>2</v>
      </c>
      <c r="AF43" s="347">
        <v>2</v>
      </c>
      <c r="AG43" s="347">
        <v>2</v>
      </c>
      <c r="AH43" s="347">
        <v>2</v>
      </c>
      <c r="AI43" s="348">
        <f t="shared" si="3"/>
        <v>63.9</v>
      </c>
    </row>
    <row r="44" spans="1:35" ht="30" x14ac:dyDescent="0.25">
      <c r="A44" s="337" t="s">
        <v>154</v>
      </c>
      <c r="B44" s="342" t="s">
        <v>14</v>
      </c>
      <c r="C44" s="346">
        <v>1</v>
      </c>
      <c r="D44" s="347">
        <v>3</v>
      </c>
      <c r="E44" s="347">
        <v>1</v>
      </c>
      <c r="F44" s="347">
        <v>3</v>
      </c>
      <c r="G44" s="347">
        <v>1</v>
      </c>
      <c r="H44" s="347">
        <v>1</v>
      </c>
      <c r="I44" s="347">
        <v>2</v>
      </c>
      <c r="J44" s="347">
        <v>1</v>
      </c>
      <c r="K44" s="347">
        <v>1</v>
      </c>
      <c r="L44" s="347">
        <v>1</v>
      </c>
      <c r="M44" s="347">
        <v>1</v>
      </c>
      <c r="N44" s="347">
        <v>1</v>
      </c>
      <c r="O44" s="347">
        <v>1</v>
      </c>
      <c r="P44" s="347">
        <v>1</v>
      </c>
      <c r="Q44" s="347">
        <v>1</v>
      </c>
      <c r="R44" s="347">
        <v>1</v>
      </c>
      <c r="S44" s="347">
        <v>1</v>
      </c>
      <c r="T44" s="347">
        <v>1</v>
      </c>
      <c r="U44" s="347">
        <v>3</v>
      </c>
      <c r="V44" s="347">
        <v>1</v>
      </c>
      <c r="W44" s="347">
        <v>1</v>
      </c>
      <c r="X44" s="347">
        <v>1</v>
      </c>
      <c r="Y44" s="347">
        <v>1</v>
      </c>
      <c r="Z44" s="347">
        <v>1</v>
      </c>
      <c r="AA44" s="347">
        <v>1</v>
      </c>
      <c r="AB44" s="347">
        <v>3</v>
      </c>
      <c r="AC44" s="347">
        <v>3</v>
      </c>
      <c r="AD44" s="347">
        <v>1</v>
      </c>
      <c r="AE44" s="347">
        <v>3</v>
      </c>
      <c r="AF44" s="347">
        <v>1</v>
      </c>
      <c r="AG44" s="347">
        <v>1</v>
      </c>
      <c r="AH44" s="347">
        <v>1</v>
      </c>
      <c r="AI44" s="348">
        <f t="shared" si="3"/>
        <v>45</v>
      </c>
    </row>
    <row r="45" spans="1:35" ht="30" x14ac:dyDescent="0.25">
      <c r="A45" s="337" t="s">
        <v>159</v>
      </c>
      <c r="B45" s="342" t="s">
        <v>14</v>
      </c>
      <c r="C45" s="346">
        <v>1</v>
      </c>
      <c r="D45" s="347">
        <v>1</v>
      </c>
      <c r="E45" s="347">
        <v>1</v>
      </c>
      <c r="F45" s="347">
        <v>1</v>
      </c>
      <c r="G45" s="347">
        <v>1</v>
      </c>
      <c r="H45" s="347">
        <v>1</v>
      </c>
      <c r="I45" s="347">
        <v>1</v>
      </c>
      <c r="J45" s="347">
        <v>1</v>
      </c>
      <c r="K45" s="347">
        <v>1</v>
      </c>
      <c r="L45" s="347">
        <v>1</v>
      </c>
      <c r="M45" s="347">
        <v>1</v>
      </c>
      <c r="N45" s="347">
        <v>1</v>
      </c>
      <c r="O45" s="347">
        <v>1</v>
      </c>
      <c r="P45" s="347">
        <v>1</v>
      </c>
      <c r="Q45" s="347">
        <v>1</v>
      </c>
      <c r="R45" s="347">
        <v>1</v>
      </c>
      <c r="S45" s="347">
        <v>1</v>
      </c>
      <c r="T45" s="347">
        <v>1</v>
      </c>
      <c r="U45" s="347">
        <v>1</v>
      </c>
      <c r="V45" s="347">
        <v>1</v>
      </c>
      <c r="W45" s="347">
        <v>1</v>
      </c>
      <c r="X45" s="347">
        <v>1</v>
      </c>
      <c r="Y45" s="347">
        <v>1</v>
      </c>
      <c r="Z45" s="347">
        <v>1</v>
      </c>
      <c r="AA45" s="347">
        <v>1</v>
      </c>
      <c r="AB45" s="347">
        <v>1</v>
      </c>
      <c r="AC45" s="347">
        <v>1</v>
      </c>
      <c r="AD45" s="347">
        <v>1</v>
      </c>
      <c r="AE45" s="347">
        <v>1</v>
      </c>
      <c r="AF45" s="347">
        <v>1</v>
      </c>
      <c r="AG45" s="347">
        <v>1</v>
      </c>
      <c r="AH45" s="347">
        <v>1</v>
      </c>
      <c r="AI45" s="348">
        <f t="shared" si="3"/>
        <v>32</v>
      </c>
    </row>
    <row r="46" spans="1:35" ht="75" x14ac:dyDescent="0.25">
      <c r="A46" s="337" t="s">
        <v>528</v>
      </c>
      <c r="B46" s="342" t="s">
        <v>54</v>
      </c>
      <c r="C46" s="346">
        <v>0.7</v>
      </c>
      <c r="D46" s="347">
        <v>0.7</v>
      </c>
      <c r="E46" s="347">
        <v>0.7</v>
      </c>
      <c r="F46" s="347">
        <v>0.7</v>
      </c>
      <c r="G46" s="347">
        <v>0.7</v>
      </c>
      <c r="H46" s="347">
        <v>0.7</v>
      </c>
      <c r="I46" s="347">
        <v>0.6</v>
      </c>
      <c r="J46" s="347">
        <v>0.7</v>
      </c>
      <c r="K46" s="347">
        <v>0.7</v>
      </c>
      <c r="L46" s="347">
        <v>0.7</v>
      </c>
      <c r="M46" s="347">
        <v>0.7</v>
      </c>
      <c r="N46" s="347">
        <v>0.7</v>
      </c>
      <c r="O46" s="347">
        <v>0.7</v>
      </c>
      <c r="P46" s="347">
        <v>0.7</v>
      </c>
      <c r="Q46" s="347">
        <v>0.7</v>
      </c>
      <c r="R46" s="347">
        <v>0.7</v>
      </c>
      <c r="S46" s="347">
        <v>0.7</v>
      </c>
      <c r="T46" s="347">
        <v>0.7</v>
      </c>
      <c r="U46" s="347">
        <v>0.7</v>
      </c>
      <c r="V46" s="347">
        <v>0.7</v>
      </c>
      <c r="W46" s="347">
        <v>0.7</v>
      </c>
      <c r="X46" s="347">
        <v>0.7</v>
      </c>
      <c r="Y46" s="347">
        <v>0.7</v>
      </c>
      <c r="Z46" s="347">
        <v>0.7</v>
      </c>
      <c r="AA46" s="347">
        <v>0.7</v>
      </c>
      <c r="AB46" s="347">
        <v>0.7</v>
      </c>
      <c r="AC46" s="347">
        <v>0.7</v>
      </c>
      <c r="AD46" s="347">
        <v>0.7</v>
      </c>
      <c r="AE46" s="347">
        <v>0.7</v>
      </c>
      <c r="AF46" s="347">
        <v>0.7</v>
      </c>
      <c r="AG46" s="347">
        <v>0.7</v>
      </c>
      <c r="AH46" s="347">
        <v>0.7</v>
      </c>
      <c r="AI46" s="348">
        <f t="shared" si="3"/>
        <v>22.3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 ОВ2 К18</vt:lpstr>
      <vt:lpstr>Лист1</vt:lpstr>
      <vt:lpstr>'КП ОВ2 К18'!Заголовки_для_печати</vt:lpstr>
      <vt:lpstr>'КП ОВ2 К18'!Область_печати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cp:lastPrinted>2024-05-07T14:28:01Z</cp:lastPrinted>
  <dcterms:created xsi:type="dcterms:W3CDTF">2022-01-31T12:48:15Z</dcterms:created>
  <dcterms:modified xsi:type="dcterms:W3CDTF">2024-05-28T06:32:43Z</dcterms:modified>
</cp:coreProperties>
</file>