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X:\РСГ\ОБЪЕКТЫ\ДДУ 915 уч\ВОР\Кровля\"/>
    </mc:Choice>
  </mc:AlternateContent>
  <xr:revisionPtr revIDLastSave="0" documentId="13_ncr:1_{1180C96B-1911-4116-AFBC-462A99E2BCF9}" xr6:coauthVersionLast="45" xr6:coauthVersionMax="45" xr10:uidLastSave="{00000000-0000-0000-0000-000000000000}"/>
  <bookViews>
    <workbookView xWindow="28680" yWindow="-120" windowWidth="29040" windowHeight="15990" xr2:uid="{00000000-000D-0000-FFFF-FFFF00000000}"/>
  </bookViews>
  <sheets>
    <sheet name="ВОР  кровля ДДУ16.04.2024" sheetId="10" r:id="rId1"/>
    <sheet name="Лист1" sheetId="11" r:id="rId2"/>
    <sheet name="расчет" sheetId="9" state="hidden" r:id="rId3"/>
  </sheets>
  <definedNames>
    <definedName name="_xlnm._FilterDatabase" localSheetId="0" hidden="1">'ВОР  кровля ДДУ16.04.2024'!$A$15:$E$120</definedName>
    <definedName name="_xlnm.Print_Area" localSheetId="0">'ВОР  кровля ДДУ16.04.2024'!$A$1:$E$127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10" l="1"/>
  <c r="E119" i="10" l="1"/>
  <c r="D20" i="11" s="1"/>
  <c r="E30" i="10"/>
  <c r="E36" i="10"/>
  <c r="E37" i="10" l="1"/>
  <c r="G10" i="9"/>
  <c r="E120" i="10"/>
  <c r="D46" i="11" s="1"/>
  <c r="E117" i="10"/>
  <c r="D28" i="11" s="1"/>
  <c r="E116" i="10"/>
  <c r="D18" i="11" s="1"/>
  <c r="E115" i="10"/>
  <c r="D34" i="11" s="1"/>
  <c r="E114" i="10"/>
  <c r="D47" i="11" s="1"/>
  <c r="E112" i="10"/>
  <c r="D41" i="11" s="1"/>
  <c r="E111" i="10"/>
  <c r="D44" i="11" s="1"/>
  <c r="E110" i="10"/>
  <c r="D37" i="11" s="1"/>
  <c r="E107" i="10"/>
  <c r="E106" i="10"/>
  <c r="E105" i="10"/>
  <c r="E104" i="10"/>
  <c r="E103" i="10"/>
  <c r="E101" i="10"/>
  <c r="E100" i="10"/>
  <c r="D23" i="11" s="1"/>
  <c r="E99" i="10"/>
  <c r="D22" i="11" s="1"/>
  <c r="E98" i="10"/>
  <c r="D39" i="11" s="1"/>
  <c r="E96" i="10"/>
  <c r="D36" i="11" s="1"/>
  <c r="E95" i="10"/>
  <c r="D30" i="11" s="1"/>
  <c r="E92" i="10"/>
  <c r="D26" i="11" s="1"/>
  <c r="E89" i="10"/>
  <c r="D48" i="11" s="1"/>
  <c r="E87" i="10"/>
  <c r="E84" i="10"/>
  <c r="E81" i="10"/>
  <c r="E78" i="10"/>
  <c r="E70" i="10"/>
  <c r="D29" i="11" s="1"/>
  <c r="E69" i="10"/>
  <c r="E66" i="10"/>
  <c r="E63" i="10"/>
  <c r="E60" i="10"/>
  <c r="E58" i="10"/>
  <c r="E57" i="10"/>
  <c r="E56" i="10"/>
  <c r="E55" i="10"/>
  <c r="E54" i="10"/>
  <c r="E51" i="10"/>
  <c r="E49" i="10"/>
  <c r="D16" i="11" s="1"/>
  <c r="E38" i="10"/>
  <c r="E31" i="10"/>
  <c r="D27" i="11" s="1"/>
  <c r="E25" i="10"/>
  <c r="D15" i="11" s="1"/>
  <c r="E21" i="10"/>
  <c r="E24" i="10" s="1"/>
  <c r="E16" i="10"/>
  <c r="D43" i="9"/>
  <c r="D34" i="9"/>
  <c r="D9" i="9"/>
  <c r="C43" i="9"/>
  <c r="C9" i="9"/>
  <c r="C42" i="9"/>
  <c r="D33" i="9"/>
  <c r="C33" i="9"/>
  <c r="D32" i="9"/>
  <c r="C32" i="9"/>
  <c r="D31" i="9"/>
  <c r="C31" i="9"/>
  <c r="C30" i="9"/>
  <c r="D30" i="9"/>
  <c r="D29" i="9"/>
  <c r="C29" i="9"/>
  <c r="D28" i="9"/>
  <c r="C28" i="9"/>
  <c r="D27" i="9"/>
  <c r="C27" i="9"/>
  <c r="D26" i="9"/>
  <c r="C26" i="9"/>
  <c r="C41" i="9" s="1"/>
  <c r="D25" i="9"/>
  <c r="C25" i="9"/>
  <c r="C40" i="9" s="1"/>
  <c r="D39" i="9"/>
  <c r="D24" i="9"/>
  <c r="C24" i="9"/>
  <c r="C39" i="9" s="1"/>
  <c r="D38" i="9"/>
  <c r="D23" i="9"/>
  <c r="C23" i="9"/>
  <c r="C38" i="9" s="1"/>
  <c r="D22" i="9"/>
  <c r="C37" i="9"/>
  <c r="C22" i="9" s="1"/>
  <c r="C21" i="9"/>
  <c r="D20" i="9"/>
  <c r="C20" i="9"/>
  <c r="D19" i="9"/>
  <c r="C19" i="9"/>
  <c r="D18" i="9"/>
  <c r="C18" i="9"/>
  <c r="C36" i="9"/>
  <c r="D16" i="9"/>
  <c r="C16" i="9"/>
  <c r="D14" i="9"/>
  <c r="C14" i="9"/>
  <c r="D13" i="9"/>
  <c r="C13" i="9"/>
  <c r="E18" i="10" l="1"/>
  <c r="E19" i="10" s="1"/>
  <c r="D17" i="11" s="1"/>
  <c r="E17" i="10"/>
  <c r="D31" i="11"/>
  <c r="E77" i="10"/>
  <c r="E52" i="10"/>
  <c r="D21" i="11" s="1"/>
  <c r="E67" i="10"/>
  <c r="E90" i="10"/>
  <c r="E62" i="10"/>
  <c r="E68" i="10"/>
  <c r="E82" i="10"/>
  <c r="E64" i="10"/>
  <c r="E75" i="10"/>
  <c r="E22" i="10"/>
  <c r="D32" i="11" s="1"/>
  <c r="E65" i="10"/>
  <c r="E86" i="10"/>
  <c r="E39" i="10"/>
  <c r="E71" i="10"/>
  <c r="E72" i="10"/>
  <c r="D14" i="11" s="1"/>
  <c r="E76" i="10"/>
  <c r="E79" i="10"/>
  <c r="E50" i="10"/>
  <c r="E61" i="10"/>
  <c r="E85" i="10"/>
  <c r="E80" i="10"/>
  <c r="E83" i="10"/>
  <c r="E97" i="10"/>
  <c r="D25" i="11" s="1"/>
  <c r="E26" i="10"/>
  <c r="D51" i="11" s="1"/>
  <c r="E27" i="10"/>
  <c r="E23" i="10"/>
  <c r="D33" i="11" s="1"/>
  <c r="E88" i="10"/>
  <c r="D43" i="11" s="1"/>
  <c r="C10" i="9"/>
  <c r="C34" i="9"/>
  <c r="E20" i="10" l="1"/>
  <c r="D35" i="11"/>
  <c r="D24" i="11"/>
  <c r="E32" i="10"/>
  <c r="E29" i="10"/>
  <c r="E28" i="10"/>
  <c r="D50" i="11" s="1"/>
  <c r="E40" i="10" l="1"/>
  <c r="E33" i="10"/>
  <c r="D40" i="11" s="1"/>
  <c r="E34" i="10"/>
  <c r="D42" i="11" s="1"/>
  <c r="E42" i="10" l="1"/>
  <c r="E41" i="10"/>
  <c r="D38" i="11" s="1"/>
  <c r="E45" i="10" l="1"/>
  <c r="E47" i="10" s="1"/>
  <c r="E43" i="10"/>
  <c r="D49" i="11" s="1"/>
  <c r="E44" i="10"/>
  <c r="D19" i="11" l="1"/>
  <c r="E46" i="10"/>
  <c r="D45" i="11" s="1"/>
</calcChain>
</file>

<file path=xl/sharedStrings.xml><?xml version="1.0" encoding="utf-8"?>
<sst xmlns="http://schemas.openxmlformats.org/spreadsheetml/2006/main" count="446" uniqueCount="219">
  <si>
    <t>Наименование  объекта :</t>
  </si>
  <si>
    <t>по адресу: Ленинградская область,</t>
  </si>
  <si>
    <t>Всеволожский муниципальный район,Бугровское</t>
  </si>
  <si>
    <t>сельское поселение,поселок Бугры, массив Центральное</t>
  </si>
  <si>
    <t>№ п/п</t>
  </si>
  <si>
    <t>Наименование видов работ, конструктивных элементов и материалов</t>
  </si>
  <si>
    <t>Ед. изм.</t>
  </si>
  <si>
    <t>Норма расхода материала     на единицу         изм. работ</t>
  </si>
  <si>
    <t>по производственной норме</t>
  </si>
  <si>
    <t>1</t>
  </si>
  <si>
    <t>м2</t>
  </si>
  <si>
    <t>1.2</t>
  </si>
  <si>
    <t>Праймер Petromast 30</t>
  </si>
  <si>
    <t>л</t>
  </si>
  <si>
    <t>1.3</t>
  </si>
  <si>
    <t>Газ пропан</t>
  </si>
  <si>
    <t>1.4</t>
  </si>
  <si>
    <t xml:space="preserve">Устройство слоя из керамзита с устройством разуклонки, h=40-260 мм </t>
  </si>
  <si>
    <t>Керамзитовый гравий, фр. 10-20 мм,М200</t>
  </si>
  <si>
    <t>м3</t>
  </si>
  <si>
    <t>1.5</t>
  </si>
  <si>
    <t>кг</t>
  </si>
  <si>
    <t>Электроды</t>
  </si>
  <si>
    <t>1.6</t>
  </si>
  <si>
    <t>1.7</t>
  </si>
  <si>
    <t>1.8</t>
  </si>
  <si>
    <t>шт</t>
  </si>
  <si>
    <t>Раствор М100</t>
  </si>
  <si>
    <t>1.9</t>
  </si>
  <si>
    <t>мп</t>
  </si>
  <si>
    <t>1.10</t>
  </si>
  <si>
    <t>1.11</t>
  </si>
  <si>
    <t>Унифлекс Н ЭПП 4,0 (нижний слой)</t>
  </si>
  <si>
    <t>Установка аэраторов на кровле с герметизацией и устройством дополнительного слоя из наплавляемого рулонного материала</t>
  </si>
  <si>
    <t>Аэратор</t>
  </si>
  <si>
    <t xml:space="preserve">Герметик кровельный 310 мм </t>
  </si>
  <si>
    <t>Мастика гидроизоляционная (швы)</t>
  </si>
  <si>
    <t>2</t>
  </si>
  <si>
    <t>2.1</t>
  </si>
  <si>
    <t>2.2</t>
  </si>
  <si>
    <t>2.3</t>
  </si>
  <si>
    <t>2.4</t>
  </si>
  <si>
    <t>Костыль металлический из полосы 40х4 с основанием с шагом 500мм</t>
  </si>
  <si>
    <t>Стальной оцинкованный лист  толщиной 0,55 мм</t>
  </si>
  <si>
    <t>3</t>
  </si>
  <si>
    <t>4</t>
  </si>
  <si>
    <t xml:space="preserve">Анкерные болты и саморезы для крепления костылей и стального оц. листа </t>
  </si>
  <si>
    <t>5</t>
  </si>
  <si>
    <t>6</t>
  </si>
  <si>
    <t>Гернитовый шнур ПРП-60 ГОСТ 19177-81 для герметизации стыков</t>
  </si>
  <si>
    <t>7</t>
  </si>
  <si>
    <t xml:space="preserve">сетки проволочная тканая с квадратными ячейками 2.5 ГОСТ 6613-86 </t>
  </si>
  <si>
    <t>Дюбель-гвоздь или саморезы</t>
  </si>
  <si>
    <t xml:space="preserve">зонт вытяжной вентиляционный (готовое изделие) </t>
  </si>
  <si>
    <t>Патрубок</t>
  </si>
  <si>
    <t>Зажимной хомут</t>
  </si>
  <si>
    <t>Прижимной фланец</t>
  </si>
  <si>
    <t>Деревянный антисептированный брусок</t>
  </si>
  <si>
    <t>Минеральная вата</t>
  </si>
  <si>
    <t>Устройство кровли  вокруг водоприемной воронки (1 м2 - 1 воронка)</t>
  </si>
  <si>
    <t>Труба водосточная, d=216 мм,2000мм</t>
  </si>
  <si>
    <t xml:space="preserve">Охват с креплением l=500 мм, d=216 мм </t>
  </si>
  <si>
    <t>Воронка для трубы водосточной , d=216 мм</t>
  </si>
  <si>
    <t>Колено нижнее сливное, d=216 мм</t>
  </si>
  <si>
    <t>тротуарная плитка 300х300х30</t>
  </si>
  <si>
    <t>1.1</t>
  </si>
  <si>
    <t xml:space="preserve">Устройство примыканий наплавляемой рулонной кровли к парапету (шириной 350мм)  по выкружке </t>
  </si>
  <si>
    <t>1.12</t>
  </si>
  <si>
    <t>"Утверждаю"</t>
  </si>
  <si>
    <t>Директор по строительству</t>
  </si>
  <si>
    <t>_________________Иванов С.В.</t>
  </si>
  <si>
    <t xml:space="preserve">Главный инженер </t>
  </si>
  <si>
    <t>Начальник ПТО</t>
  </si>
  <si>
    <t>Бугаев М.Ю.</t>
  </si>
  <si>
    <t>8</t>
  </si>
  <si>
    <t xml:space="preserve"> "Детское образовательное учреждение на 325 мест с бассейном"</t>
  </si>
  <si>
    <t>земельный участок с кадастровым номером 47:07:0713003:915</t>
  </si>
  <si>
    <t>Грунтование  бетонной плиты покрытия и всех примыканий к вертикальным поверхностям (L=620мм)</t>
  </si>
  <si>
    <t>Устройство оклеечной пароизоляции завести на все примыкания к вертикальным поверхностям (L= 620мм)</t>
  </si>
  <si>
    <t>сетка Ø5мм Вр1, яч. 150х150 мм</t>
  </si>
  <si>
    <t>Грунтование поверхности стяжки и  бортика из бетона</t>
  </si>
  <si>
    <t xml:space="preserve">Устройство тротуарной плитки 300х300х30 </t>
  </si>
  <si>
    <t xml:space="preserve">Устройство наружного водостока с кровли  </t>
  </si>
  <si>
    <t>Устройство примыканий наплавляемой   кровли к парапету.</t>
  </si>
  <si>
    <t>Кровельная  воронка с электроподогревом</t>
  </si>
  <si>
    <t xml:space="preserve">Устройство окрытия парапета кровли из стального оцинкованного листа толщиной 0,55мм  </t>
  </si>
  <si>
    <t>Устройство примыканий наплавляемой кровли к вентшахтам</t>
  </si>
  <si>
    <t>Кровля - основная КР-1+КР-2 кровля над лифтовым и вентшахтами</t>
  </si>
  <si>
    <t>Устройство примыканий наплавляемой рулонной кровли к вентшахтам по бортику   (шириной 350мм) по периметру вентшахт</t>
  </si>
  <si>
    <t>1.13</t>
  </si>
  <si>
    <t xml:space="preserve"> 3.2</t>
  </si>
  <si>
    <t xml:space="preserve"> 3.3</t>
  </si>
  <si>
    <t xml:space="preserve"> 3.4</t>
  </si>
  <si>
    <t xml:space="preserve"> 3.5</t>
  </si>
  <si>
    <t xml:space="preserve"> 4.1</t>
  </si>
  <si>
    <t xml:space="preserve"> 4.2</t>
  </si>
  <si>
    <t>Устройство примыканий наплавляемой рулонной кровли к вентшахтам, L=0,75мм (верхний слой)</t>
  </si>
  <si>
    <t>Устройство примыканий наплавляемой рулонной кровли к вентшахтам, L=0,55 м (нижний слой)</t>
  </si>
  <si>
    <t>Устройство примыканий наплавляемой рулонной кровли к парапету L=0,7м (нижний слой)</t>
  </si>
  <si>
    <t>Устройство примыканий наплавляемой рулонной кровли к парапету L=0,9м (верхний слой )</t>
  </si>
  <si>
    <t>Устройство  бортика из раствора цементно-песчаного М100</t>
  </si>
  <si>
    <t>Установка зонта вытяжного вентиляционного  по верху вентшахт</t>
  </si>
  <si>
    <t>Установка защитной сетки проволочной тканой с квадратными ячейками 2.5 ГОСТ 6613-86  по верху вентшахт</t>
  </si>
  <si>
    <t>Установка отливов  из оцинкованной стали 0,55м  по верху кирпичной кладки вентшахт</t>
  </si>
  <si>
    <t xml:space="preserve"> 3.6</t>
  </si>
  <si>
    <t xml:space="preserve"> 3.7</t>
  </si>
  <si>
    <t>Устройство лотков (слив) на кровле в монолитных стенах  парапета из оцинкованной стали</t>
  </si>
  <si>
    <t xml:space="preserve">Полиуретановый герметик </t>
  </si>
  <si>
    <t>Скапер из оцинкованной стали толщииной 0,7мм длиной 500 мм</t>
  </si>
  <si>
    <t xml:space="preserve">Саморез для крепления 5,5х35 с полусферической головкой </t>
  </si>
  <si>
    <t xml:space="preserve">Сверление отверстий в монолитной стене  парапета   для прокладки  лотков наружного водостока с кровли  </t>
  </si>
  <si>
    <t>КР-1</t>
  </si>
  <si>
    <t>Расположение</t>
  </si>
  <si>
    <t>16-6/И/3-М</t>
  </si>
  <si>
    <t>P,м</t>
  </si>
  <si>
    <t>S,м2</t>
  </si>
  <si>
    <t>9-12/Г-Д</t>
  </si>
  <si>
    <t>18-21/Б-Д</t>
  </si>
  <si>
    <t>4-6/Б-Д</t>
  </si>
  <si>
    <t>обстройки</t>
  </si>
  <si>
    <t>тип1</t>
  </si>
  <si>
    <t>отм</t>
  </si>
  <si>
    <t xml:space="preserve">А-П/1-21 </t>
  </si>
  <si>
    <t>кол-во</t>
  </si>
  <si>
    <t>тип2</t>
  </si>
  <si>
    <t>тип3</t>
  </si>
  <si>
    <t>тип4</t>
  </si>
  <si>
    <t>КР-2</t>
  </si>
  <si>
    <t>тип5</t>
  </si>
  <si>
    <t>тип6</t>
  </si>
  <si>
    <t>тип7</t>
  </si>
  <si>
    <t>тип8</t>
  </si>
  <si>
    <t>тип9</t>
  </si>
  <si>
    <t>тип10</t>
  </si>
  <si>
    <t>тип11</t>
  </si>
  <si>
    <t>тип12</t>
  </si>
  <si>
    <t>тип13</t>
  </si>
  <si>
    <t>тип14</t>
  </si>
  <si>
    <t>тип15</t>
  </si>
  <si>
    <t>тип16</t>
  </si>
  <si>
    <t>тип17</t>
  </si>
  <si>
    <t>тип18</t>
  </si>
  <si>
    <t>тип19</t>
  </si>
  <si>
    <t>тип20</t>
  </si>
  <si>
    <t>тип21</t>
  </si>
  <si>
    <t>итого</t>
  </si>
  <si>
    <t>Итого</t>
  </si>
  <si>
    <t>ВСЕГО КР-1</t>
  </si>
  <si>
    <t>_____ _________________2024г.</t>
  </si>
  <si>
    <t>Соломатина С.В.</t>
  </si>
  <si>
    <t>Бикроэласт ХПП</t>
  </si>
  <si>
    <t>Минеральная вата Техноруф Н Проф t=100 мм (нижний слой)</t>
  </si>
  <si>
    <t>Минеральная вата Техноруф В Проф, t=100 мм (верхний слой)</t>
  </si>
  <si>
    <t>Устройство утепления кровли из жесткой минеральной ваты  МВП (плотностью 160 кг/м3) толщиной 200мм (с укладкой двух слоев МВП толщиной по 100мм и 100мм в разбежку)</t>
  </si>
  <si>
    <t>Устройство стяжки из раствора толщиной 50мм, армированной сеткой 5Вр1 с ячейкой  150х150мм</t>
  </si>
  <si>
    <t>Устройство стяжки с уклоном из раствора толщиной 50мм - 150мм, армированной сеткой 5Вр1 с ячейкой  150х150мм</t>
  </si>
  <si>
    <t>Унифлекс ВЕНТ ЭПВ 3,0 (нижний слой)</t>
  </si>
  <si>
    <t>Техноэласт  ПЛАМЯ СТОП ЭКП (верхний слой)</t>
  </si>
  <si>
    <t>Геотекстиль 300г/м2</t>
  </si>
  <si>
    <t>ООО "ПрокСтрой"</t>
  </si>
  <si>
    <t>Устройство кровли из наплавляемого рулонного материала (нижний слой), с заведением на выкружку 150мм</t>
  </si>
  <si>
    <t>Устройство наплавляемого слоя кровли  из  Унифлекс Н ЭПП 4,0 (вместо рубероида РПП-300)</t>
  </si>
  <si>
    <t>Устройство кровли плоской из наплавляемого рулонного материала (верхний слой), с заведением на выкружку 150мм</t>
  </si>
  <si>
    <t>Устройство примыканий вокруг труб  для прохода инженерных систем (электрика, слаботочка) (1 м2 - 1 труба)</t>
  </si>
  <si>
    <t>Устройство водосточной воронки с электроподогревом. (Внутренний водосток)</t>
  </si>
  <si>
    <t xml:space="preserve">Устройство водосточной воронки с установкой патрубка, зажимного хомута, уплотнителя ПРП, минваты. </t>
  </si>
  <si>
    <t>Объём работ и нормативная потребность материалов на объект по производственной норме (Шифр 05/03-2023-АР) изменения от 03.04.2024</t>
  </si>
  <si>
    <t>"_____" _________________2024 г.</t>
  </si>
  <si>
    <t>ЛИМИТНО-ЗАБОРНАЯ КАРТА № __ по ДДУ на 325 мест с бассейном</t>
  </si>
  <si>
    <t>Ед. изм</t>
  </si>
  <si>
    <t>Объём работ и нормативная потребность материалов на объект</t>
  </si>
  <si>
    <t>шт.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</si>
  <si>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</si>
  <si>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</si>
  <si>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</si>
  <si>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</si>
  <si>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</si>
  <si>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</si>
  <si>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</si>
  <si>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</si>
  <si>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</si>
  <si>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</si>
  <si>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</si>
  <si>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</si>
  <si>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</si>
  <si>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</si>
  <si>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</si>
  <si>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</si>
  <si>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</si>
  <si>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</si>
  <si>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</si>
  <si>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</si>
  <si>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</si>
  <si>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</si>
  <si>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Начальник ПТО ________________________ Соломатина С.В.</t>
  </si>
  <si>
    <t>Главный инженер ______________________ Бугаев М.Ю.</t>
  </si>
  <si>
    <t>Вид работ: Устройство кровли (Шифр 05/03-2023-АР)</t>
  </si>
  <si>
    <t>арматура Ø 8мм А1</t>
  </si>
  <si>
    <t>м.п</t>
  </si>
  <si>
    <t xml:space="preserve">Зонт вытяжной вентиляционный (готовое изделие) </t>
  </si>
  <si>
    <t>Оцинкованный лист 0,55мм</t>
  </si>
  <si>
    <t>Сетка Ø5мм Вр1, яч. 150х150 мм</t>
  </si>
  <si>
    <t xml:space="preserve">Сетки проволочная тканая с квадратными ячейками 2.5 ГОСТ 6613-86 </t>
  </si>
  <si>
    <t>Тротуарная плитка 300х300х30</t>
  </si>
  <si>
    <t xml:space="preserve">Уголок 63х5 </t>
  </si>
  <si>
    <t>31</t>
  </si>
  <si>
    <t>32</t>
  </si>
  <si>
    <t>33</t>
  </si>
  <si>
    <t>34</t>
  </si>
  <si>
    <t>35</t>
  </si>
  <si>
    <t>36</t>
  </si>
  <si>
    <t>37</t>
  </si>
  <si>
    <t>38</t>
  </si>
  <si>
    <t>ВЕДОМОСТЬ ОБЪЕМОВ РАБОТ № __ по ДДУ на 325 мест с бассейном</t>
  </si>
  <si>
    <t>Вид работ: комплекс работ по устройству кровли</t>
  </si>
  <si>
    <r>
      <t xml:space="preserve">Устройство молниезащиты сеткой  из арматуры </t>
    </r>
    <r>
      <rPr>
        <b/>
        <sz val="11"/>
        <rFont val="Calibri"/>
        <family val="2"/>
        <charset val="204"/>
      </rPr>
      <t>Ø</t>
    </r>
    <r>
      <rPr>
        <b/>
        <sz val="11"/>
        <rFont val="Times New Roman"/>
        <family val="1"/>
        <charset val="204"/>
      </rPr>
      <t xml:space="preserve"> 8мм А1 с шагом 6000х6000мм, узлы на сварке</t>
    </r>
  </si>
  <si>
    <t>Зам. начальника СДО</t>
  </si>
  <si>
    <t>Сергиенко Е.А.</t>
  </si>
  <si>
    <t>Зам начальника СДО ______________________ Сергиенко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</si>
</sst>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5" fillId="2" borderId="0" xfId="2" applyFont="1" applyFill="1" applyAlignment="1" applyProtection="1">
      <alignment vertical="center"/>
      <protection locked="0"/>
    </xf>
    <xf numFmtId="49" fontId="5" fillId="2" borderId="0" xfId="2" applyNumberFormat="1" applyFont="1" applyFill="1" applyAlignment="1" applyProtection="1">
      <alignment horizontal="center" vertical="center"/>
    </xf>
    <xf numFmtId="0" fontId="9" fillId="2" borderId="0" xfId="2" applyFont="1" applyFill="1" applyAlignment="1" applyProtection="1">
      <alignment horizontal="right" vertical="center"/>
      <protection locked="0"/>
    </xf>
    <xf numFmtId="0" fontId="16" fillId="2" borderId="0" xfId="2" applyFont="1" applyFill="1" applyAlignment="1" applyProtection="1">
      <alignment horizontal="right" vertical="center"/>
      <protection locked="0"/>
    </xf>
    <xf numFmtId="0" fontId="17" fillId="2" borderId="0" xfId="2" applyFont="1" applyFill="1" applyAlignment="1" applyProtection="1">
      <alignment horizontal="right" vertical="center"/>
      <protection locked="0"/>
    </xf>
    <xf numFmtId="0" fontId="18" fillId="2" borderId="0" xfId="2" applyFont="1" applyFill="1" applyAlignment="1" applyProtection="1">
      <alignment horizontal="right" vertical="center"/>
      <protection locked="0"/>
    </xf>
    <xf numFmtId="0" fontId="5" fillId="2" borderId="0" xfId="2" applyFont="1" applyFill="1" applyBorder="1" applyAlignment="1" applyProtection="1">
      <alignment vertical="center"/>
      <protection locked="0"/>
    </xf>
    <xf numFmtId="0" fontId="19" fillId="2" borderId="0" xfId="1" applyNumberFormat="1" applyFont="1" applyFill="1" applyBorder="1" applyAlignment="1" applyProtection="1">
      <alignment horizontal="left" vertical="center"/>
    </xf>
    <xf numFmtId="0" fontId="19" fillId="2" borderId="0" xfId="1" applyNumberFormat="1" applyFont="1" applyFill="1" applyBorder="1" applyAlignment="1" applyProtection="1">
      <alignment horizontal="left" vertical="center" wrapText="1"/>
    </xf>
    <xf numFmtId="0" fontId="19" fillId="2" borderId="0" xfId="1" applyNumberFormat="1" applyFont="1" applyFill="1" applyBorder="1" applyAlignment="1" applyProtection="1">
      <alignment horizontal="center" vertical="center" wrapText="1"/>
    </xf>
    <xf numFmtId="164" fontId="5" fillId="2" borderId="0" xfId="2" applyNumberFormat="1" applyFont="1" applyFill="1" applyAlignment="1" applyProtection="1">
      <alignment horizontal="right" vertical="center"/>
    </xf>
    <xf numFmtId="164" fontId="14" fillId="2" borderId="0" xfId="2" applyNumberFormat="1" applyFont="1" applyFill="1" applyBorder="1" applyAlignment="1" applyProtection="1">
      <alignment horizontal="right" vertical="center"/>
    </xf>
    <xf numFmtId="0" fontId="5" fillId="2" borderId="0" xfId="2" applyFont="1" applyFill="1" applyAlignment="1" applyProtection="1">
      <alignment vertical="center"/>
    </xf>
    <xf numFmtId="0" fontId="5" fillId="2" borderId="0" xfId="2" applyFont="1" applyFill="1" applyAlignment="1" applyProtection="1">
      <alignment horizontal="center" vertical="center"/>
    </xf>
    <xf numFmtId="0" fontId="14" fillId="0" borderId="0" xfId="1" applyFont="1" applyFill="1" applyAlignment="1" applyProtection="1">
      <alignment horizontal="center" vertical="center"/>
    </xf>
    <xf numFmtId="0" fontId="11" fillId="0" borderId="0" xfId="1" applyFont="1" applyAlignment="1">
      <alignment vertical="center"/>
    </xf>
    <xf numFmtId="0" fontId="14" fillId="0" borderId="0" xfId="1" applyFont="1"/>
    <xf numFmtId="2" fontId="14" fillId="0" borderId="0" xfId="1" applyNumberFormat="1" applyFont="1" applyFill="1" applyAlignment="1" applyProtection="1">
      <alignment vertical="center"/>
    </xf>
    <xf numFmtId="0" fontId="3" fillId="0" borderId="0" xfId="0" applyFont="1" applyFill="1" applyBorder="1" applyAlignment="1">
      <alignment vertical="top" wrapText="1"/>
    </xf>
    <xf numFmtId="0" fontId="14" fillId="0" borderId="0" xfId="0" applyFont="1" applyAlignment="1">
      <alignment vertical="center"/>
    </xf>
    <xf numFmtId="0" fontId="14" fillId="0" borderId="0" xfId="0" applyFont="1"/>
    <xf numFmtId="0" fontId="6" fillId="0" borderId="0" xfId="0" applyFont="1" applyFill="1" applyProtection="1"/>
    <xf numFmtId="0" fontId="6" fillId="0" borderId="0" xfId="0" applyFont="1" applyFill="1" applyAlignment="1" applyProtection="1">
      <alignment horizontal="center" vertical="center"/>
    </xf>
    <xf numFmtId="0" fontId="6" fillId="0" borderId="0" xfId="3" applyFont="1" applyAlignment="1">
      <alignment vertical="center"/>
    </xf>
    <xf numFmtId="0" fontId="6" fillId="2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horizontal="right" vertical="center"/>
      <protection locked="0"/>
    </xf>
    <xf numFmtId="164" fontId="11" fillId="2" borderId="0" xfId="2" applyNumberFormat="1" applyFont="1" applyFill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/>
    </xf>
    <xf numFmtId="0" fontId="14" fillId="0" borderId="0" xfId="0" applyFont="1" applyBorder="1" applyAlignment="1">
      <alignment horizontal="left"/>
    </xf>
    <xf numFmtId="0" fontId="14" fillId="0" borderId="1" xfId="2" applyFont="1" applyBorder="1" applyAlignment="1" applyProtection="1">
      <alignment horizontal="center" vertical="center"/>
    </xf>
    <xf numFmtId="164" fontId="14" fillId="0" borderId="1" xfId="2" applyNumberFormat="1" applyFont="1" applyBorder="1" applyAlignment="1" applyProtection="1">
      <alignment horizontal="right" vertical="center"/>
    </xf>
    <xf numFmtId="0" fontId="14" fillId="0" borderId="0" xfId="2" applyFont="1" applyBorder="1" applyAlignment="1" applyProtection="1">
      <alignment horizontal="center" vertical="center"/>
    </xf>
    <xf numFmtId="164" fontId="14" fillId="0" borderId="0" xfId="2" applyNumberFormat="1" applyFont="1" applyBorder="1" applyAlignment="1" applyProtection="1">
      <alignment horizontal="right" vertical="center"/>
    </xf>
    <xf numFmtId="0" fontId="14" fillId="2" borderId="0" xfId="2" applyFont="1" applyFill="1" applyAlignment="1" applyProtection="1">
      <alignment horizontal="left" vertical="center"/>
    </xf>
    <xf numFmtId="0" fontId="14" fillId="2" borderId="1" xfId="2" applyFont="1" applyFill="1" applyBorder="1" applyAlignment="1" applyProtection="1">
      <alignment horizontal="center" vertical="center"/>
    </xf>
    <xf numFmtId="164" fontId="14" fillId="2" borderId="1" xfId="2" applyNumberFormat="1" applyFont="1" applyFill="1" applyBorder="1" applyAlignment="1" applyProtection="1">
      <alignment horizontal="right" vertical="center"/>
    </xf>
    <xf numFmtId="164" fontId="14" fillId="0" borderId="0" xfId="2" applyNumberFormat="1" applyFont="1" applyAlignment="1" applyProtection="1">
      <alignment horizontal="right" vertical="center"/>
    </xf>
    <xf numFmtId="0" fontId="14" fillId="0" borderId="1" xfId="0" applyFont="1" applyBorder="1"/>
    <xf numFmtId="164" fontId="14" fillId="0" borderId="0" xfId="2" applyNumberFormat="1" applyFont="1" applyBorder="1" applyAlignment="1" applyProtection="1">
      <alignment horizontal="left" vertical="center"/>
    </xf>
    <xf numFmtId="164" fontId="14" fillId="2" borderId="0" xfId="2" applyNumberFormat="1" applyFont="1" applyFill="1" applyBorder="1" applyAlignment="1" applyProtection="1">
      <alignment horizontal="left" vertical="center"/>
    </xf>
    <xf numFmtId="0" fontId="20" fillId="0" borderId="0" xfId="0" applyFont="1"/>
    <xf numFmtId="0" fontId="19" fillId="0" borderId="0" xfId="0" applyFont="1" applyFill="1" applyAlignment="1"/>
    <xf numFmtId="0" fontId="20" fillId="0" borderId="0" xfId="0" applyFont="1" applyFill="1" applyAlignment="1"/>
    <xf numFmtId="0" fontId="14" fillId="0" borderId="0" xfId="0" applyFont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</xf>
    <xf numFmtId="2" fontId="11" fillId="0" borderId="0" xfId="0" applyNumberFormat="1" applyFont="1" applyAlignment="1" applyProtection="1">
      <alignment horizontal="right" vertical="center"/>
      <protection locked="0"/>
    </xf>
    <xf numFmtId="0" fontId="22" fillId="0" borderId="0" xfId="0" applyFont="1"/>
    <xf numFmtId="0" fontId="0" fillId="0" borderId="3" xfId="0" applyBorder="1"/>
    <xf numFmtId="0" fontId="22" fillId="0" borderId="3" xfId="0" applyFont="1" applyBorder="1"/>
    <xf numFmtId="0" fontId="21" fillId="0" borderId="3" xfId="0" applyFont="1" applyBorder="1"/>
    <xf numFmtId="0" fontId="14" fillId="0" borderId="0" xfId="0" applyFont="1" applyFill="1" applyBorder="1" applyAlignment="1">
      <alignment horizontal="center" vertical="top" wrapText="1"/>
    </xf>
    <xf numFmtId="2" fontId="11" fillId="0" borderId="0" xfId="0" applyNumberFormat="1" applyFont="1" applyAlignment="1" applyProtection="1">
      <alignment horizontal="right" vertical="center"/>
      <protection locked="0"/>
    </xf>
    <xf numFmtId="164" fontId="14" fillId="0" borderId="1" xfId="2" applyNumberFormat="1" applyFont="1" applyBorder="1" applyAlignment="1" applyProtection="1">
      <alignment horizontal="center" vertical="center"/>
    </xf>
    <xf numFmtId="2" fontId="11" fillId="0" borderId="0" xfId="0" applyNumberFormat="1" applyFont="1" applyAlignment="1" applyProtection="1">
      <alignment vertical="center"/>
      <protection locked="0"/>
    </xf>
    <xf numFmtId="0" fontId="7" fillId="2" borderId="0" xfId="2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49" fontId="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4" fillId="0" borderId="0" xfId="0" applyFont="1"/>
    <xf numFmtId="0" fontId="7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5" fillId="0" borderId="0" xfId="0" applyFont="1"/>
    <xf numFmtId="0" fontId="10" fillId="0" borderId="0" xfId="0" applyFont="1" applyAlignment="1">
      <alignment vertical="center"/>
    </xf>
    <xf numFmtId="0" fontId="26" fillId="0" borderId="0" xfId="0" applyFont="1"/>
    <xf numFmtId="49" fontId="20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right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3" fillId="2" borderId="3" xfId="2" applyFont="1" applyFill="1" applyBorder="1" applyAlignment="1" applyProtection="1">
      <alignment horizontal="right" vertical="center" wrapText="1"/>
    </xf>
    <xf numFmtId="0" fontId="28" fillId="2" borderId="3" xfId="2" applyFont="1" applyFill="1" applyBorder="1" applyAlignment="1" applyProtection="1">
      <alignment horizontal="left" vertical="center" wrapText="1"/>
    </xf>
    <xf numFmtId="1" fontId="28" fillId="2" borderId="3" xfId="2" applyNumberFormat="1" applyFont="1" applyFill="1" applyBorder="1" applyAlignment="1" applyProtection="1">
      <alignment horizontal="left" vertical="center" wrapText="1"/>
    </xf>
    <xf numFmtId="49" fontId="28" fillId="0" borderId="3" xfId="0" applyNumberFormat="1" applyFont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13" fillId="0" borderId="3" xfId="2" applyFont="1" applyFill="1" applyBorder="1" applyAlignment="1" applyProtection="1">
      <alignment horizontal="right" vertical="center" wrapText="1"/>
    </xf>
    <xf numFmtId="0" fontId="13" fillId="0" borderId="3" xfId="2" applyFont="1" applyFill="1" applyBorder="1" applyAlignment="1" applyProtection="1">
      <alignment horizontal="center" vertical="center" wrapText="1"/>
    </xf>
    <xf numFmtId="164" fontId="13" fillId="2" borderId="3" xfId="2" applyNumberFormat="1" applyFont="1" applyFill="1" applyBorder="1" applyAlignment="1" applyProtection="1">
      <alignment horizontal="center" vertical="center" wrapText="1"/>
    </xf>
    <xf numFmtId="2" fontId="13" fillId="0" borderId="3" xfId="2" applyNumberFormat="1" applyFont="1" applyFill="1" applyBorder="1" applyAlignment="1" applyProtection="1">
      <alignment horizontal="center" vertical="center" wrapText="1"/>
    </xf>
    <xf numFmtId="0" fontId="13" fillId="2" borderId="3" xfId="2" applyFont="1" applyFill="1" applyBorder="1" applyAlignment="1" applyProtection="1">
      <alignment horizontal="center" vertical="center" wrapText="1"/>
    </xf>
    <xf numFmtId="164" fontId="13" fillId="0" borderId="3" xfId="2" applyNumberFormat="1" applyFont="1" applyFill="1" applyBorder="1" applyAlignment="1" applyProtection="1">
      <alignment horizontal="center" vertical="center" wrapText="1"/>
    </xf>
    <xf numFmtId="165" fontId="13" fillId="0" borderId="3" xfId="2" applyNumberFormat="1" applyFont="1" applyFill="1" applyBorder="1" applyAlignment="1" applyProtection="1">
      <alignment horizontal="center" vertical="center" wrapText="1"/>
    </xf>
    <xf numFmtId="2" fontId="13" fillId="2" borderId="3" xfId="2" applyNumberFormat="1" applyFont="1" applyFill="1" applyBorder="1" applyAlignment="1" applyProtection="1">
      <alignment horizontal="center" vertical="center" wrapText="1"/>
    </xf>
    <xf numFmtId="1" fontId="13" fillId="0" borderId="3" xfId="2" applyNumberFormat="1" applyFont="1" applyFill="1" applyBorder="1" applyAlignment="1" applyProtection="1">
      <alignment horizontal="center" vertical="center" wrapText="1"/>
    </xf>
    <xf numFmtId="1" fontId="13" fillId="0" borderId="3" xfId="2" applyNumberFormat="1" applyFont="1" applyFill="1" applyBorder="1" applyAlignment="1" applyProtection="1">
      <alignment horizontal="right" vertical="center" wrapText="1"/>
    </xf>
    <xf numFmtId="0" fontId="8" fillId="2" borderId="3" xfId="2" applyFont="1" applyFill="1" applyBorder="1" applyAlignment="1" applyProtection="1">
      <alignment horizontal="center" vertical="center" wrapText="1"/>
    </xf>
    <xf numFmtId="164" fontId="12" fillId="2" borderId="11" xfId="2" applyNumberFormat="1" applyFont="1" applyFill="1" applyBorder="1" applyAlignment="1" applyProtection="1">
      <alignment horizontal="center" vertical="center" wrapText="1"/>
    </xf>
    <xf numFmtId="2" fontId="13" fillId="0" borderId="2" xfId="2" applyNumberFormat="1" applyFont="1" applyFill="1" applyBorder="1" applyAlignment="1" applyProtection="1">
      <alignment horizontal="center" vertical="center" wrapText="1"/>
    </xf>
    <xf numFmtId="1" fontId="13" fillId="0" borderId="2" xfId="2" applyNumberFormat="1" applyFont="1" applyFill="1" applyBorder="1" applyAlignment="1" applyProtection="1">
      <alignment horizontal="center" vertical="center" wrapText="1"/>
    </xf>
    <xf numFmtId="2" fontId="13" fillId="2" borderId="2" xfId="2" applyNumberFormat="1" applyFont="1" applyFill="1" applyBorder="1" applyAlignment="1" applyProtection="1">
      <alignment horizontal="center" vertical="center" wrapText="1"/>
    </xf>
    <xf numFmtId="164" fontId="13" fillId="0" borderId="2" xfId="2" applyNumberFormat="1" applyFont="1" applyFill="1" applyBorder="1" applyAlignment="1" applyProtection="1">
      <alignment horizontal="center" vertical="center" wrapText="1"/>
    </xf>
    <xf numFmtId="0" fontId="13" fillId="2" borderId="7" xfId="2" applyFont="1" applyFill="1" applyBorder="1" applyAlignment="1" applyProtection="1">
      <alignment horizontal="right" vertical="center" wrapText="1"/>
    </xf>
    <xf numFmtId="0" fontId="13" fillId="2" borderId="7" xfId="2" applyFont="1" applyFill="1" applyBorder="1" applyAlignment="1" applyProtection="1">
      <alignment horizontal="center" vertical="center" wrapText="1"/>
    </xf>
    <xf numFmtId="2" fontId="13" fillId="2" borderId="7" xfId="2" applyNumberFormat="1" applyFont="1" applyFill="1" applyBorder="1" applyAlignment="1" applyProtection="1">
      <alignment horizontal="center" vertical="center" wrapText="1"/>
    </xf>
    <xf numFmtId="2" fontId="13" fillId="2" borderId="4" xfId="2" applyNumberFormat="1" applyFont="1" applyFill="1" applyBorder="1" applyAlignment="1" applyProtection="1">
      <alignment horizontal="center" vertical="center"/>
      <protection locked="0"/>
    </xf>
    <xf numFmtId="0" fontId="12" fillId="2" borderId="7" xfId="1" applyFont="1" applyFill="1" applyBorder="1" applyAlignment="1">
      <alignment horizontal="center" vertical="center" wrapText="1"/>
    </xf>
    <xf numFmtId="49" fontId="8" fillId="3" borderId="8" xfId="2" applyNumberFormat="1" applyFont="1" applyFill="1" applyBorder="1" applyAlignment="1" applyProtection="1">
      <alignment horizontal="center" vertical="center"/>
    </xf>
    <xf numFmtId="0" fontId="8" fillId="3" borderId="9" xfId="2" applyFont="1" applyFill="1" applyBorder="1" applyAlignment="1" applyProtection="1">
      <alignment horizontal="left" vertical="center"/>
    </xf>
    <xf numFmtId="0" fontId="8" fillId="3" borderId="9" xfId="2" applyFont="1" applyFill="1" applyBorder="1" applyAlignment="1" applyProtection="1">
      <alignment vertical="center" wrapText="1"/>
    </xf>
    <xf numFmtId="0" fontId="8" fillId="3" borderId="13" xfId="2" applyFont="1" applyFill="1" applyBorder="1" applyAlignment="1" applyProtection="1">
      <alignment vertical="center" wrapText="1"/>
    </xf>
    <xf numFmtId="49" fontId="8" fillId="2" borderId="12" xfId="2" applyNumberFormat="1" applyFont="1" applyFill="1" applyBorder="1" applyAlignment="1" applyProtection="1">
      <alignment horizontal="center" vertical="center"/>
    </xf>
    <xf numFmtId="0" fontId="8" fillId="2" borderId="3" xfId="2" applyFont="1" applyFill="1" applyBorder="1" applyAlignment="1" applyProtection="1">
      <alignment vertical="center" wrapText="1"/>
    </xf>
    <xf numFmtId="2" fontId="8" fillId="2" borderId="2" xfId="2" applyNumberFormat="1" applyFont="1" applyFill="1" applyBorder="1" applyAlignment="1" applyProtection="1">
      <alignment horizontal="center" vertical="center" wrapText="1"/>
    </xf>
    <xf numFmtId="49" fontId="8" fillId="0" borderId="12" xfId="2" applyNumberFormat="1" applyFont="1" applyFill="1" applyBorder="1" applyAlignment="1" applyProtection="1">
      <alignment horizontal="center" vertical="center"/>
    </xf>
    <xf numFmtId="0" fontId="8" fillId="2" borderId="3" xfId="2" applyFont="1" applyFill="1" applyBorder="1" applyAlignment="1" applyProtection="1">
      <alignment horizontal="left" vertical="center" wrapText="1"/>
    </xf>
    <xf numFmtId="164" fontId="28" fillId="2" borderId="3" xfId="2" applyNumberFormat="1" applyFont="1" applyFill="1" applyBorder="1" applyAlignment="1" applyProtection="1">
      <alignment horizontal="center" vertical="center" wrapText="1"/>
    </xf>
    <xf numFmtId="49" fontId="13" fillId="0" borderId="12" xfId="2" applyNumberFormat="1" applyFont="1" applyFill="1" applyBorder="1" applyAlignment="1" applyProtection="1">
      <alignment horizontal="center" vertical="center"/>
    </xf>
    <xf numFmtId="165" fontId="13" fillId="2" borderId="3" xfId="2" applyNumberFormat="1" applyFont="1" applyFill="1" applyBorder="1" applyAlignment="1" applyProtection="1">
      <alignment horizontal="right" vertical="center" wrapText="1"/>
    </xf>
    <xf numFmtId="49" fontId="8" fillId="3" borderId="12" xfId="2" applyNumberFormat="1" applyFont="1" applyFill="1" applyBorder="1" applyAlignment="1" applyProtection="1">
      <alignment horizontal="center" vertical="center"/>
    </xf>
    <xf numFmtId="0" fontId="8" fillId="3" borderId="3" xfId="2" applyFont="1" applyFill="1" applyBorder="1" applyAlignment="1" applyProtection="1">
      <alignment vertical="center" wrapText="1"/>
    </xf>
    <xf numFmtId="0" fontId="8" fillId="3" borderId="2" xfId="2" applyFont="1" applyFill="1" applyBorder="1" applyAlignment="1" applyProtection="1">
      <alignment vertical="center" wrapText="1"/>
    </xf>
    <xf numFmtId="164" fontId="13" fillId="2" borderId="3" xfId="2" applyNumberFormat="1" applyFont="1" applyFill="1" applyBorder="1" applyAlignment="1" applyProtection="1">
      <alignment horizontal="right" vertical="center" wrapText="1"/>
    </xf>
    <xf numFmtId="2" fontId="13" fillId="2" borderId="3" xfId="2" applyNumberFormat="1" applyFont="1" applyFill="1" applyBorder="1" applyAlignment="1" applyProtection="1">
      <alignment horizontal="right" vertical="center" wrapText="1"/>
    </xf>
    <xf numFmtId="0" fontId="8" fillId="3" borderId="3" xfId="2" applyFont="1" applyFill="1" applyBorder="1" applyAlignment="1" applyProtection="1">
      <alignment horizontal="center" vertical="center" wrapText="1"/>
    </xf>
    <xf numFmtId="0" fontId="8" fillId="3" borderId="2" xfId="2" applyFont="1" applyFill="1" applyBorder="1" applyAlignment="1" applyProtection="1">
      <alignment horizontal="center" vertical="center" wrapText="1"/>
    </xf>
    <xf numFmtId="1" fontId="13" fillId="0" borderId="12" xfId="2" applyNumberFormat="1" applyFont="1" applyFill="1" applyBorder="1" applyAlignment="1" applyProtection="1">
      <alignment horizontal="center" vertical="center"/>
    </xf>
    <xf numFmtId="2" fontId="8" fillId="3" borderId="2" xfId="2" applyNumberFormat="1" applyFont="1" applyFill="1" applyBorder="1" applyAlignment="1" applyProtection="1">
      <alignment horizontal="center" vertical="center" wrapText="1"/>
    </xf>
    <xf numFmtId="1" fontId="13" fillId="0" borderId="6" xfId="2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NumberFormat="1" applyFont="1" applyFill="1" applyAlignment="1" applyProtection="1">
      <alignment horizontal="center" vertical="center"/>
    </xf>
    <xf numFmtId="0" fontId="10" fillId="2" borderId="10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 wrapText="1"/>
    </xf>
    <xf numFmtId="0" fontId="10" fillId="2" borderId="7" xfId="1" applyFont="1" applyFill="1" applyBorder="1" applyAlignment="1" applyProtection="1">
      <alignment horizontal="center" vertical="center" wrapText="1"/>
    </xf>
    <xf numFmtId="0" fontId="10" fillId="2" borderId="11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164" fontId="12" fillId="2" borderId="5" xfId="2" applyNumberFormat="1" applyFont="1" applyFill="1" applyBorder="1" applyAlignment="1" applyProtection="1">
      <alignment horizontal="center" vertical="center" wrapText="1"/>
    </xf>
    <xf numFmtId="164" fontId="12" fillId="2" borderId="4" xfId="2" applyNumberFormat="1" applyFont="1" applyFill="1" applyBorder="1" applyAlignment="1" applyProtection="1">
      <alignment horizontal="center" vertical="center" wrapText="1"/>
    </xf>
    <xf numFmtId="49" fontId="27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4" xfId="4" xr:uid="{00000000-0005-0000-0000-000003000000}"/>
    <cellStyle name="Обычный 4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4216E-2576-4829-B97B-6296D3A6B192}">
  <sheetPr>
    <tabColor rgb="FFFF0000"/>
    <pageSetUpPr fitToPage="1"/>
  </sheetPr>
  <dimension ref="A1:E130"/>
  <sheetViews>
    <sheetView tabSelected="1" topLeftCell="A103" zoomScale="85" zoomScaleNormal="85" zoomScaleSheetLayoutView="85" zoomScalePageLayoutView="55" workbookViewId="0">
      <selection activeCell="E126" sqref="E126"/>
    </sheetView>
  </sheetViews>
  <sheetFormatPr defaultRowHeight="12.75" outlineLevelCol="1" x14ac:dyDescent="0.25"/>
  <cols>
    <col min="1" max="1" width="11.140625" style="2" customWidth="1"/>
    <col min="2" max="2" width="79.140625" style="13" customWidth="1"/>
    <col min="3" max="3" width="9.28515625" style="14" customWidth="1"/>
    <col min="4" max="4" width="16.42578125" style="11" customWidth="1"/>
    <col min="5" max="5" width="20.5703125" style="11" customWidth="1" outlineLevel="1"/>
    <col min="6" max="16384" width="9.140625" style="1"/>
  </cols>
  <sheetData>
    <row r="1" spans="1:5" ht="15.75" x14ac:dyDescent="0.25">
      <c r="B1" s="19"/>
      <c r="C1" s="19"/>
      <c r="D1" s="19"/>
      <c r="E1" s="55"/>
    </row>
    <row r="2" spans="1:5" ht="15.75" customHeight="1" x14ac:dyDescent="0.25">
      <c r="A2" s="46" t="s">
        <v>0</v>
      </c>
      <c r="B2" s="25"/>
      <c r="C2" s="25"/>
      <c r="D2" s="129"/>
      <c r="E2" s="129"/>
    </row>
    <row r="3" spans="1:5" ht="15.75" customHeight="1" x14ac:dyDescent="0.25">
      <c r="A3" s="47" t="s">
        <v>75</v>
      </c>
      <c r="B3" s="25"/>
      <c r="C3" s="25"/>
      <c r="D3" s="27"/>
      <c r="E3" s="26" t="s">
        <v>68</v>
      </c>
    </row>
    <row r="4" spans="1:5" ht="15.75" customHeight="1" x14ac:dyDescent="0.25">
      <c r="A4" s="46" t="s">
        <v>1</v>
      </c>
      <c r="B4" s="25"/>
      <c r="C4" s="25"/>
      <c r="D4" s="58"/>
      <c r="E4" s="56" t="s">
        <v>69</v>
      </c>
    </row>
    <row r="5" spans="1:5" ht="15.75" customHeight="1" x14ac:dyDescent="0.25">
      <c r="A5" s="47" t="s">
        <v>2</v>
      </c>
      <c r="B5" s="25"/>
      <c r="C5" s="25"/>
      <c r="D5" s="59"/>
      <c r="E5" s="28"/>
    </row>
    <row r="6" spans="1:5" ht="15.75" customHeight="1" x14ac:dyDescent="0.25">
      <c r="A6" s="47" t="s">
        <v>3</v>
      </c>
      <c r="B6" s="29"/>
      <c r="C6" s="29"/>
      <c r="E6" s="50" t="s">
        <v>159</v>
      </c>
    </row>
    <row r="7" spans="1:5" ht="15.75" customHeight="1" x14ac:dyDescent="0.25">
      <c r="A7" s="45" t="s">
        <v>76</v>
      </c>
      <c r="B7" s="29"/>
      <c r="C7" s="29"/>
      <c r="E7" s="30"/>
    </row>
    <row r="8" spans="1:5" ht="17.100000000000001" customHeight="1" x14ac:dyDescent="0.25">
      <c r="A8" s="31"/>
      <c r="B8" s="32"/>
      <c r="C8" s="32"/>
      <c r="D8" s="59"/>
      <c r="E8" s="50" t="s">
        <v>70</v>
      </c>
    </row>
    <row r="9" spans="1:5" ht="15.75" customHeight="1" x14ac:dyDescent="0.25">
      <c r="A9" s="13"/>
      <c r="B9" s="14"/>
      <c r="C9" s="11"/>
      <c r="E9" s="50"/>
    </row>
    <row r="10" spans="1:5" ht="15.75" customHeight="1" x14ac:dyDescent="0.25">
      <c r="A10" s="1"/>
      <c r="B10" s="1"/>
      <c r="C10" s="1"/>
      <c r="D10" s="1"/>
      <c r="E10" s="50" t="s">
        <v>148</v>
      </c>
    </row>
    <row r="11" spans="1:5" ht="24" customHeight="1" x14ac:dyDescent="0.25">
      <c r="A11" s="49"/>
      <c r="B11" s="128" t="s">
        <v>213</v>
      </c>
      <c r="C11" s="128"/>
      <c r="D11" s="128"/>
      <c r="E11" s="128"/>
    </row>
    <row r="12" spans="1:5" ht="15.75" customHeight="1" thickBot="1" x14ac:dyDescent="0.3">
      <c r="A12" s="60"/>
      <c r="B12" s="128" t="s">
        <v>214</v>
      </c>
      <c r="C12" s="128"/>
      <c r="D12" s="128"/>
      <c r="E12" s="128"/>
    </row>
    <row r="13" spans="1:5" s="3" customFormat="1" ht="48" x14ac:dyDescent="0.25">
      <c r="A13" s="130" t="s">
        <v>4</v>
      </c>
      <c r="B13" s="132" t="s">
        <v>5</v>
      </c>
      <c r="C13" s="134" t="s">
        <v>6</v>
      </c>
      <c r="D13" s="96" t="s">
        <v>7</v>
      </c>
      <c r="E13" s="136" t="s">
        <v>166</v>
      </c>
    </row>
    <row r="14" spans="1:5" s="3" customFormat="1" ht="45.75" customHeight="1" thickBot="1" x14ac:dyDescent="0.3">
      <c r="A14" s="131"/>
      <c r="B14" s="133"/>
      <c r="C14" s="135"/>
      <c r="D14" s="105" t="s">
        <v>8</v>
      </c>
      <c r="E14" s="137"/>
    </row>
    <row r="15" spans="1:5" s="3" customFormat="1" ht="24" customHeight="1" x14ac:dyDescent="0.25">
      <c r="A15" s="106" t="s">
        <v>9</v>
      </c>
      <c r="B15" s="107" t="s">
        <v>87</v>
      </c>
      <c r="C15" s="108"/>
      <c r="D15" s="108"/>
      <c r="E15" s="109"/>
    </row>
    <row r="16" spans="1:5" s="3" customFormat="1" ht="28.5" x14ac:dyDescent="0.25">
      <c r="A16" s="110" t="s">
        <v>65</v>
      </c>
      <c r="B16" s="111" t="s">
        <v>77</v>
      </c>
      <c r="C16" s="95" t="s">
        <v>10</v>
      </c>
      <c r="D16" s="111"/>
      <c r="E16" s="112">
        <f>1905.49+432.92*0.62</f>
        <v>2173.9004</v>
      </c>
    </row>
    <row r="17" spans="1:5" s="3" customFormat="1" ht="15.75" customHeight="1" x14ac:dyDescent="0.25">
      <c r="A17" s="113"/>
      <c r="B17" s="85" t="s">
        <v>12</v>
      </c>
      <c r="C17" s="86" t="s">
        <v>13</v>
      </c>
      <c r="D17" s="88">
        <v>0.35</v>
      </c>
      <c r="E17" s="97">
        <f>D17*E16</f>
        <v>760.86514</v>
      </c>
    </row>
    <row r="18" spans="1:5" s="3" customFormat="1" ht="28.5" x14ac:dyDescent="0.25">
      <c r="A18" s="110" t="s">
        <v>11</v>
      </c>
      <c r="B18" s="114" t="s">
        <v>78</v>
      </c>
      <c r="C18" s="95" t="s">
        <v>10</v>
      </c>
      <c r="D18" s="115"/>
      <c r="E18" s="112">
        <f>E16</f>
        <v>2173.9004</v>
      </c>
    </row>
    <row r="19" spans="1:5" s="3" customFormat="1" ht="15.75" customHeight="1" x14ac:dyDescent="0.25">
      <c r="A19" s="113"/>
      <c r="B19" s="85" t="s">
        <v>150</v>
      </c>
      <c r="C19" s="86" t="s">
        <v>10</v>
      </c>
      <c r="D19" s="88">
        <v>1.1000000000000001</v>
      </c>
      <c r="E19" s="97">
        <f>D19*E18</f>
        <v>2391.2904400000002</v>
      </c>
    </row>
    <row r="20" spans="1:5" s="3" customFormat="1" ht="15.75" customHeight="1" x14ac:dyDescent="0.25">
      <c r="A20" s="113"/>
      <c r="B20" s="85" t="s">
        <v>15</v>
      </c>
      <c r="C20" s="86" t="s">
        <v>13</v>
      </c>
      <c r="D20" s="88">
        <v>0.8</v>
      </c>
      <c r="E20" s="97">
        <f>D20*E18</f>
        <v>1739.12032</v>
      </c>
    </row>
    <row r="21" spans="1:5" s="3" customFormat="1" ht="42.75" x14ac:dyDescent="0.25">
      <c r="A21" s="110" t="s">
        <v>14</v>
      </c>
      <c r="B21" s="114" t="s">
        <v>153</v>
      </c>
      <c r="C21" s="95" t="s">
        <v>10</v>
      </c>
      <c r="D21" s="115"/>
      <c r="E21" s="112">
        <f>1567.89+49.81+52.35+24.26+211.173</f>
        <v>1905.4829999999999</v>
      </c>
    </row>
    <row r="22" spans="1:5" s="3" customFormat="1" ht="15" x14ac:dyDescent="0.25">
      <c r="A22" s="113"/>
      <c r="B22" s="85" t="s">
        <v>151</v>
      </c>
      <c r="C22" s="86" t="s">
        <v>19</v>
      </c>
      <c r="D22" s="90">
        <v>0.10299999999999999</v>
      </c>
      <c r="E22" s="97">
        <f>E21*D22</f>
        <v>196.26474899999999</v>
      </c>
    </row>
    <row r="23" spans="1:5" s="3" customFormat="1" ht="15" x14ac:dyDescent="0.25">
      <c r="A23" s="113"/>
      <c r="B23" s="85" t="s">
        <v>152</v>
      </c>
      <c r="C23" s="86" t="s">
        <v>19</v>
      </c>
      <c r="D23" s="90">
        <v>0.10299999999999999</v>
      </c>
      <c r="E23" s="97">
        <f>E21*D23</f>
        <v>196.26474899999999</v>
      </c>
    </row>
    <row r="24" spans="1:5" s="3" customFormat="1" ht="29.25" x14ac:dyDescent="0.25">
      <c r="A24" s="110" t="s">
        <v>16</v>
      </c>
      <c r="B24" s="114" t="s">
        <v>215</v>
      </c>
      <c r="C24" s="95" t="s">
        <v>10</v>
      </c>
      <c r="D24" s="115"/>
      <c r="E24" s="112">
        <f>E21</f>
        <v>1905.4829999999999</v>
      </c>
    </row>
    <row r="25" spans="1:5" s="3" customFormat="1" ht="15" x14ac:dyDescent="0.25">
      <c r="A25" s="113"/>
      <c r="B25" s="85" t="s">
        <v>197</v>
      </c>
      <c r="C25" s="86" t="s">
        <v>21</v>
      </c>
      <c r="D25" s="88">
        <v>0.17672028561787223</v>
      </c>
      <c r="E25" s="97">
        <f>(700*0.395+75*0.395)*1.1</f>
        <v>336.73750000000001</v>
      </c>
    </row>
    <row r="26" spans="1:5" s="3" customFormat="1" ht="15" x14ac:dyDescent="0.25">
      <c r="A26" s="113"/>
      <c r="B26" s="85" t="s">
        <v>22</v>
      </c>
      <c r="C26" s="86" t="s">
        <v>21</v>
      </c>
      <c r="D26" s="90">
        <v>3.5000000000000003E-2</v>
      </c>
      <c r="E26" s="97">
        <f>E24*D26</f>
        <v>66.691905000000006</v>
      </c>
    </row>
    <row r="27" spans="1:5" s="3" customFormat="1" ht="28.5" x14ac:dyDescent="0.25">
      <c r="A27" s="110" t="s">
        <v>20</v>
      </c>
      <c r="B27" s="114" t="s">
        <v>161</v>
      </c>
      <c r="C27" s="95" t="s">
        <v>10</v>
      </c>
      <c r="D27" s="115"/>
      <c r="E27" s="112">
        <f>E24</f>
        <v>1905.4829999999999</v>
      </c>
    </row>
    <row r="28" spans="1:5" s="3" customFormat="1" ht="15" x14ac:dyDescent="0.25">
      <c r="A28" s="113"/>
      <c r="B28" s="85" t="s">
        <v>32</v>
      </c>
      <c r="C28" s="86" t="s">
        <v>10</v>
      </c>
      <c r="D28" s="91">
        <v>1.1599999999999999</v>
      </c>
      <c r="E28" s="97">
        <f>D28*E27</f>
        <v>2210.3602799999999</v>
      </c>
    </row>
    <row r="29" spans="1:5" s="4" customFormat="1" ht="15" x14ac:dyDescent="0.25">
      <c r="A29" s="116"/>
      <c r="B29" s="85" t="s">
        <v>15</v>
      </c>
      <c r="C29" s="86" t="s">
        <v>13</v>
      </c>
      <c r="D29" s="88">
        <v>0.8</v>
      </c>
      <c r="E29" s="97">
        <f>D29*E27</f>
        <v>1524.3864000000001</v>
      </c>
    </row>
    <row r="30" spans="1:5" s="4" customFormat="1" ht="15" x14ac:dyDescent="0.25">
      <c r="A30" s="110" t="s">
        <v>23</v>
      </c>
      <c r="B30" s="114" t="s">
        <v>17</v>
      </c>
      <c r="C30" s="95" t="s">
        <v>10</v>
      </c>
      <c r="D30" s="92"/>
      <c r="E30" s="112">
        <f>1905.48-E35</f>
        <v>1872.78</v>
      </c>
    </row>
    <row r="31" spans="1:5" s="4" customFormat="1" ht="15" x14ac:dyDescent="0.25">
      <c r="A31" s="113"/>
      <c r="B31" s="85" t="s">
        <v>18</v>
      </c>
      <c r="C31" s="86" t="s">
        <v>19</v>
      </c>
      <c r="D31" s="88">
        <v>0.18</v>
      </c>
      <c r="E31" s="97">
        <f>E30*D31</f>
        <v>337.10039999999998</v>
      </c>
    </row>
    <row r="32" spans="1:5" s="3" customFormat="1" ht="28.5" x14ac:dyDescent="0.25">
      <c r="A32" s="110" t="s">
        <v>24</v>
      </c>
      <c r="B32" s="111" t="s">
        <v>154</v>
      </c>
      <c r="C32" s="95" t="s">
        <v>10</v>
      </c>
      <c r="D32" s="111"/>
      <c r="E32" s="112">
        <f>E27</f>
        <v>1905.4829999999999</v>
      </c>
    </row>
    <row r="33" spans="1:5" s="3" customFormat="1" ht="15" x14ac:dyDescent="0.25">
      <c r="A33" s="113"/>
      <c r="B33" s="85" t="s">
        <v>27</v>
      </c>
      <c r="C33" s="86" t="s">
        <v>19</v>
      </c>
      <c r="D33" s="90">
        <v>5.0749999999999997E-2</v>
      </c>
      <c r="E33" s="97">
        <f>E32*D33</f>
        <v>96.703262249999995</v>
      </c>
    </row>
    <row r="34" spans="1:5" s="3" customFormat="1" ht="15" x14ac:dyDescent="0.25">
      <c r="A34" s="113"/>
      <c r="B34" s="85" t="s">
        <v>79</v>
      </c>
      <c r="C34" s="86" t="s">
        <v>10</v>
      </c>
      <c r="D34" s="88">
        <v>1.02</v>
      </c>
      <c r="E34" s="97">
        <f>D34*E32</f>
        <v>1943.59266</v>
      </c>
    </row>
    <row r="35" spans="1:5" s="3" customFormat="1" ht="28.5" x14ac:dyDescent="0.25">
      <c r="A35" s="110" t="s">
        <v>25</v>
      </c>
      <c r="B35" s="111" t="s">
        <v>155</v>
      </c>
      <c r="C35" s="95" t="s">
        <v>10</v>
      </c>
      <c r="D35" s="111"/>
      <c r="E35" s="112">
        <v>32.700000000000003</v>
      </c>
    </row>
    <row r="36" spans="1:5" s="3" customFormat="1" ht="15" x14ac:dyDescent="0.25">
      <c r="A36" s="113"/>
      <c r="B36" s="85" t="s">
        <v>27</v>
      </c>
      <c r="C36" s="86" t="s">
        <v>19</v>
      </c>
      <c r="D36" s="90">
        <v>0.1</v>
      </c>
      <c r="E36" s="97">
        <f>E35*D36</f>
        <v>3.2700000000000005</v>
      </c>
    </row>
    <row r="37" spans="1:5" s="3" customFormat="1" ht="15" x14ac:dyDescent="0.25">
      <c r="A37" s="113"/>
      <c r="B37" s="85" t="s">
        <v>79</v>
      </c>
      <c r="C37" s="86" t="s">
        <v>10</v>
      </c>
      <c r="D37" s="88">
        <v>1.02</v>
      </c>
      <c r="E37" s="97">
        <f>D37*E35</f>
        <v>33.354000000000006</v>
      </c>
    </row>
    <row r="38" spans="1:5" s="3" customFormat="1" ht="14.25" x14ac:dyDescent="0.25">
      <c r="A38" s="110" t="s">
        <v>28</v>
      </c>
      <c r="B38" s="111" t="s">
        <v>100</v>
      </c>
      <c r="C38" s="95" t="s">
        <v>10</v>
      </c>
      <c r="D38" s="111"/>
      <c r="E38" s="112">
        <f>432.92*0.15</f>
        <v>64.938000000000002</v>
      </c>
    </row>
    <row r="39" spans="1:5" s="3" customFormat="1" ht="15" x14ac:dyDescent="0.25">
      <c r="A39" s="113"/>
      <c r="B39" s="85" t="s">
        <v>27</v>
      </c>
      <c r="C39" s="86" t="s">
        <v>19</v>
      </c>
      <c r="D39" s="88">
        <v>0.153</v>
      </c>
      <c r="E39" s="97">
        <f>D39*E38</f>
        <v>9.9355139999999995</v>
      </c>
    </row>
    <row r="40" spans="1:5" s="3" customFormat="1" ht="14.25" x14ac:dyDescent="0.25">
      <c r="A40" s="110" t="s">
        <v>30</v>
      </c>
      <c r="B40" s="111" t="s">
        <v>80</v>
      </c>
      <c r="C40" s="95" t="s">
        <v>10</v>
      </c>
      <c r="D40" s="111"/>
      <c r="E40" s="112">
        <f>E32+E38</f>
        <v>1970.421</v>
      </c>
    </row>
    <row r="41" spans="1:5" s="3" customFormat="1" ht="15" x14ac:dyDescent="0.25">
      <c r="A41" s="113"/>
      <c r="B41" s="85" t="s">
        <v>12</v>
      </c>
      <c r="C41" s="86" t="s">
        <v>13</v>
      </c>
      <c r="D41" s="88">
        <v>1.4</v>
      </c>
      <c r="E41" s="97">
        <f>D41*E40</f>
        <v>2758.5893999999998</v>
      </c>
    </row>
    <row r="42" spans="1:5" s="3" customFormat="1" ht="28.5" x14ac:dyDescent="0.25">
      <c r="A42" s="110" t="s">
        <v>31</v>
      </c>
      <c r="B42" s="114" t="s">
        <v>160</v>
      </c>
      <c r="C42" s="95" t="s">
        <v>10</v>
      </c>
      <c r="D42" s="115"/>
      <c r="E42" s="112">
        <f>E40</f>
        <v>1970.421</v>
      </c>
    </row>
    <row r="43" spans="1:5" s="3" customFormat="1" ht="15" x14ac:dyDescent="0.25">
      <c r="A43" s="113"/>
      <c r="B43" s="85" t="s">
        <v>156</v>
      </c>
      <c r="C43" s="86" t="s">
        <v>10</v>
      </c>
      <c r="D43" s="88">
        <v>1.1599999999999999</v>
      </c>
      <c r="E43" s="97">
        <f>D43*E42</f>
        <v>2285.6883600000001</v>
      </c>
    </row>
    <row r="44" spans="1:5" s="3" customFormat="1" ht="15" x14ac:dyDescent="0.25">
      <c r="A44" s="113"/>
      <c r="B44" s="85" t="s">
        <v>15</v>
      </c>
      <c r="C44" s="86" t="s">
        <v>13</v>
      </c>
      <c r="D44" s="88">
        <v>0.8</v>
      </c>
      <c r="E44" s="97">
        <f>D44*E42</f>
        <v>1576.3368</v>
      </c>
    </row>
    <row r="45" spans="1:5" s="4" customFormat="1" ht="52.5" customHeight="1" x14ac:dyDescent="0.25">
      <c r="A45" s="110" t="s">
        <v>67</v>
      </c>
      <c r="B45" s="114" t="s">
        <v>162</v>
      </c>
      <c r="C45" s="95" t="s">
        <v>10</v>
      </c>
      <c r="D45" s="87"/>
      <c r="E45" s="112">
        <f>E42</f>
        <v>1970.421</v>
      </c>
    </row>
    <row r="46" spans="1:5" s="5" customFormat="1" ht="15.75" customHeight="1" x14ac:dyDescent="0.25">
      <c r="A46" s="116"/>
      <c r="B46" s="85" t="s">
        <v>157</v>
      </c>
      <c r="C46" s="86" t="s">
        <v>10</v>
      </c>
      <c r="D46" s="88">
        <v>1.1399999999999999</v>
      </c>
      <c r="E46" s="97">
        <f>D46*E45</f>
        <v>2246.2799399999999</v>
      </c>
    </row>
    <row r="47" spans="1:5" s="6" customFormat="1" ht="15.75" customHeight="1" x14ac:dyDescent="0.25">
      <c r="A47" s="116"/>
      <c r="B47" s="85" t="s">
        <v>15</v>
      </c>
      <c r="C47" s="86" t="s">
        <v>13</v>
      </c>
      <c r="D47" s="88">
        <v>0.8</v>
      </c>
      <c r="E47" s="97">
        <f>D47*E45</f>
        <v>1576.3368</v>
      </c>
    </row>
    <row r="48" spans="1:5" s="4" customFormat="1" ht="39" customHeight="1" x14ac:dyDescent="0.25">
      <c r="A48" s="110" t="s">
        <v>67</v>
      </c>
      <c r="B48" s="114" t="s">
        <v>33</v>
      </c>
      <c r="C48" s="95" t="s">
        <v>26</v>
      </c>
      <c r="D48" s="87"/>
      <c r="E48" s="112">
        <v>19</v>
      </c>
    </row>
    <row r="49" spans="1:5" s="5" customFormat="1" ht="15.75" customHeight="1" x14ac:dyDescent="0.25">
      <c r="A49" s="116"/>
      <c r="B49" s="85" t="s">
        <v>34</v>
      </c>
      <c r="C49" s="86" t="s">
        <v>26</v>
      </c>
      <c r="D49" s="88">
        <v>1</v>
      </c>
      <c r="E49" s="97">
        <f>D49*E48</f>
        <v>19</v>
      </c>
    </row>
    <row r="50" spans="1:5" s="5" customFormat="1" ht="15.75" customHeight="1" x14ac:dyDescent="0.25">
      <c r="A50" s="116"/>
      <c r="B50" s="85" t="s">
        <v>157</v>
      </c>
      <c r="C50" s="86" t="s">
        <v>10</v>
      </c>
      <c r="D50" s="88">
        <v>1.1399999999999999</v>
      </c>
      <c r="E50" s="97">
        <f>D50*E49</f>
        <v>21.659999999999997</v>
      </c>
    </row>
    <row r="51" spans="1:5" s="6" customFormat="1" ht="22.5" customHeight="1" x14ac:dyDescent="0.25">
      <c r="A51" s="116"/>
      <c r="B51" s="85" t="s">
        <v>15</v>
      </c>
      <c r="C51" s="86" t="s">
        <v>13</v>
      </c>
      <c r="D51" s="88">
        <v>0.8</v>
      </c>
      <c r="E51" s="97">
        <f>D51*E48</f>
        <v>15.200000000000001</v>
      </c>
    </row>
    <row r="52" spans="1:5" s="6" customFormat="1" ht="22.5" customHeight="1" x14ac:dyDescent="0.25">
      <c r="A52" s="116"/>
      <c r="B52" s="85" t="s">
        <v>35</v>
      </c>
      <c r="C52" s="86" t="s">
        <v>26</v>
      </c>
      <c r="D52" s="88">
        <v>1</v>
      </c>
      <c r="E52" s="97">
        <f>E49*D52</f>
        <v>19</v>
      </c>
    </row>
    <row r="53" spans="1:5" ht="28.5" x14ac:dyDescent="0.25">
      <c r="A53" s="110" t="s">
        <v>89</v>
      </c>
      <c r="B53" s="114" t="s">
        <v>163</v>
      </c>
      <c r="C53" s="95" t="s">
        <v>10</v>
      </c>
      <c r="D53" s="117"/>
      <c r="E53" s="112">
        <v>30</v>
      </c>
    </row>
    <row r="54" spans="1:5" s="7" customFormat="1" ht="15.75" customHeight="1" x14ac:dyDescent="0.25">
      <c r="A54" s="116"/>
      <c r="B54" s="85" t="s">
        <v>12</v>
      </c>
      <c r="C54" s="86" t="s">
        <v>13</v>
      </c>
      <c r="D54" s="88">
        <v>0.35</v>
      </c>
      <c r="E54" s="97">
        <f>D54*E53</f>
        <v>10.5</v>
      </c>
    </row>
    <row r="55" spans="1:5" s="7" customFormat="1" ht="15.75" customHeight="1" x14ac:dyDescent="0.25">
      <c r="A55" s="116"/>
      <c r="B55" s="85" t="s">
        <v>156</v>
      </c>
      <c r="C55" s="86" t="s">
        <v>10</v>
      </c>
      <c r="D55" s="88">
        <v>1.1599999999999999</v>
      </c>
      <c r="E55" s="97">
        <f>D55*E53</f>
        <v>34.799999999999997</v>
      </c>
    </row>
    <row r="56" spans="1:5" s="7" customFormat="1" ht="15.75" customHeight="1" x14ac:dyDescent="0.25">
      <c r="A56" s="116"/>
      <c r="B56" s="85" t="s">
        <v>157</v>
      </c>
      <c r="C56" s="86" t="s">
        <v>10</v>
      </c>
      <c r="D56" s="88">
        <v>1.1399999999999999</v>
      </c>
      <c r="E56" s="97">
        <f>D56*E53</f>
        <v>34.199999999999996</v>
      </c>
    </row>
    <row r="57" spans="1:5" s="7" customFormat="1" ht="15.75" customHeight="1" x14ac:dyDescent="0.25">
      <c r="A57" s="116"/>
      <c r="B57" s="85" t="s">
        <v>15</v>
      </c>
      <c r="C57" s="86" t="s">
        <v>13</v>
      </c>
      <c r="D57" s="88">
        <v>0.8</v>
      </c>
      <c r="E57" s="97">
        <f>E53*D57</f>
        <v>24</v>
      </c>
    </row>
    <row r="58" spans="1:5" s="7" customFormat="1" ht="15.75" customHeight="1" x14ac:dyDescent="0.25">
      <c r="A58" s="116"/>
      <c r="B58" s="85" t="s">
        <v>36</v>
      </c>
      <c r="C58" s="86" t="s">
        <v>21</v>
      </c>
      <c r="D58" s="88">
        <v>4.5000000000000005E-2</v>
      </c>
      <c r="E58" s="97">
        <f>E53*D58</f>
        <v>1.35</v>
      </c>
    </row>
    <row r="59" spans="1:5" s="3" customFormat="1" ht="14.25" x14ac:dyDescent="0.25">
      <c r="A59" s="118" t="s">
        <v>37</v>
      </c>
      <c r="B59" s="119" t="s">
        <v>83</v>
      </c>
      <c r="C59" s="119"/>
      <c r="D59" s="119"/>
      <c r="E59" s="120"/>
    </row>
    <row r="60" spans="1:5" s="4" customFormat="1" ht="45.75" customHeight="1" x14ac:dyDescent="0.25">
      <c r="A60" s="110" t="s">
        <v>38</v>
      </c>
      <c r="B60" s="114" t="s">
        <v>66</v>
      </c>
      <c r="C60" s="95" t="s">
        <v>10</v>
      </c>
      <c r="D60" s="121"/>
      <c r="E60" s="112">
        <f>432.92*0.35</f>
        <v>151.52199999999999</v>
      </c>
    </row>
    <row r="61" spans="1:5" s="4" customFormat="1" ht="15" x14ac:dyDescent="0.25">
      <c r="A61" s="113"/>
      <c r="B61" s="85" t="s">
        <v>156</v>
      </c>
      <c r="C61" s="86" t="s">
        <v>10</v>
      </c>
      <c r="D61" s="88">
        <v>1.1599999999999999</v>
      </c>
      <c r="E61" s="97">
        <f>D61*E60</f>
        <v>175.76551999999998</v>
      </c>
    </row>
    <row r="62" spans="1:5" s="4" customFormat="1" ht="15" x14ac:dyDescent="0.25">
      <c r="A62" s="113"/>
      <c r="B62" s="85" t="s">
        <v>15</v>
      </c>
      <c r="C62" s="86" t="s">
        <v>13</v>
      </c>
      <c r="D62" s="88">
        <v>0.8</v>
      </c>
      <c r="E62" s="97">
        <f>D62*E60</f>
        <v>121.2176</v>
      </c>
    </row>
    <row r="63" spans="1:5" s="4" customFormat="1" ht="45.75" customHeight="1" x14ac:dyDescent="0.25">
      <c r="A63" s="110" t="s">
        <v>39</v>
      </c>
      <c r="B63" s="114" t="s">
        <v>98</v>
      </c>
      <c r="C63" s="95" t="s">
        <v>10</v>
      </c>
      <c r="D63" s="121"/>
      <c r="E63" s="112">
        <f>0.7*432.92</f>
        <v>303.04399999999998</v>
      </c>
    </row>
    <row r="64" spans="1:5" s="4" customFormat="1" ht="15" x14ac:dyDescent="0.25">
      <c r="A64" s="113"/>
      <c r="B64" s="85" t="s">
        <v>156</v>
      </c>
      <c r="C64" s="86" t="s">
        <v>10</v>
      </c>
      <c r="D64" s="88">
        <v>1.1599999999999999</v>
      </c>
      <c r="E64" s="97">
        <f>D64*E63</f>
        <v>351.53103999999996</v>
      </c>
    </row>
    <row r="65" spans="1:5" s="4" customFormat="1" ht="15" x14ac:dyDescent="0.25">
      <c r="A65" s="113"/>
      <c r="B65" s="85" t="s">
        <v>15</v>
      </c>
      <c r="C65" s="86" t="s">
        <v>13</v>
      </c>
      <c r="D65" s="88">
        <v>0.8</v>
      </c>
      <c r="E65" s="97">
        <f>D65*E63</f>
        <v>242.43520000000001</v>
      </c>
    </row>
    <row r="66" spans="1:5" s="4" customFormat="1" ht="45.75" customHeight="1" x14ac:dyDescent="0.25">
      <c r="A66" s="110" t="s">
        <v>40</v>
      </c>
      <c r="B66" s="114" t="s">
        <v>99</v>
      </c>
      <c r="C66" s="95" t="s">
        <v>10</v>
      </c>
      <c r="D66" s="121"/>
      <c r="E66" s="112">
        <f>432.92*0.9</f>
        <v>389.62800000000004</v>
      </c>
    </row>
    <row r="67" spans="1:5" s="4" customFormat="1" ht="15.75" customHeight="1" x14ac:dyDescent="0.25">
      <c r="A67" s="116"/>
      <c r="B67" s="85" t="s">
        <v>157</v>
      </c>
      <c r="C67" s="86" t="s">
        <v>10</v>
      </c>
      <c r="D67" s="88">
        <v>1.1399999999999999</v>
      </c>
      <c r="E67" s="97">
        <f>D67*E66</f>
        <v>444.17592000000002</v>
      </c>
    </row>
    <row r="68" spans="1:5" s="3" customFormat="1" ht="15.75" customHeight="1" x14ac:dyDescent="0.25">
      <c r="A68" s="116"/>
      <c r="B68" s="85" t="s">
        <v>15</v>
      </c>
      <c r="C68" s="86" t="s">
        <v>13</v>
      </c>
      <c r="D68" s="88">
        <v>0.8</v>
      </c>
      <c r="E68" s="97">
        <f>D68*E66</f>
        <v>311.70240000000007</v>
      </c>
    </row>
    <row r="69" spans="1:5" s="4" customFormat="1" ht="28.5" x14ac:dyDescent="0.25">
      <c r="A69" s="110" t="s">
        <v>41</v>
      </c>
      <c r="B69" s="114" t="s">
        <v>85</v>
      </c>
      <c r="C69" s="95" t="s">
        <v>10</v>
      </c>
      <c r="D69" s="121"/>
      <c r="E69" s="112">
        <f>0.92*432.92</f>
        <v>398.28640000000001</v>
      </c>
    </row>
    <row r="70" spans="1:5" s="4" customFormat="1" ht="15.75" customHeight="1" x14ac:dyDescent="0.25">
      <c r="A70" s="116"/>
      <c r="B70" s="85" t="s">
        <v>42</v>
      </c>
      <c r="C70" s="86" t="s">
        <v>26</v>
      </c>
      <c r="D70" s="88">
        <v>1</v>
      </c>
      <c r="E70" s="97">
        <f>433/0.5</f>
        <v>866</v>
      </c>
    </row>
    <row r="71" spans="1:5" s="4" customFormat="1" ht="15.75" customHeight="1" x14ac:dyDescent="0.25">
      <c r="A71" s="116"/>
      <c r="B71" s="85" t="s">
        <v>43</v>
      </c>
      <c r="C71" s="86" t="s">
        <v>10</v>
      </c>
      <c r="D71" s="88">
        <v>1.1000000000000001</v>
      </c>
      <c r="E71" s="97">
        <f>E69*D71</f>
        <v>438.11504000000008</v>
      </c>
    </row>
    <row r="72" spans="1:5" s="4" customFormat="1" ht="15.75" customHeight="1" x14ac:dyDescent="0.25">
      <c r="A72" s="116"/>
      <c r="B72" s="85" t="s">
        <v>46</v>
      </c>
      <c r="C72" s="86" t="s">
        <v>26</v>
      </c>
      <c r="D72" s="88">
        <v>4</v>
      </c>
      <c r="E72" s="98">
        <f>E69*D72</f>
        <v>1593.1456000000001</v>
      </c>
    </row>
    <row r="73" spans="1:5" s="3" customFormat="1" ht="14.25" x14ac:dyDescent="0.25">
      <c r="A73" s="118" t="s">
        <v>44</v>
      </c>
      <c r="B73" s="119" t="s">
        <v>86</v>
      </c>
      <c r="C73" s="119"/>
      <c r="D73" s="119"/>
      <c r="E73" s="120"/>
    </row>
    <row r="74" spans="1:5" s="4" customFormat="1" ht="45.75" customHeight="1" x14ac:dyDescent="0.25">
      <c r="A74" s="110" t="s">
        <v>90</v>
      </c>
      <c r="B74" s="114" t="s">
        <v>88</v>
      </c>
      <c r="C74" s="95" t="s">
        <v>10</v>
      </c>
      <c r="D74" s="121"/>
      <c r="E74" s="112">
        <f>192.25*0.35</f>
        <v>67.287499999999994</v>
      </c>
    </row>
    <row r="75" spans="1:5" s="3" customFormat="1" ht="15.75" customHeight="1" x14ac:dyDescent="0.25">
      <c r="A75" s="113"/>
      <c r="B75" s="85" t="s">
        <v>27</v>
      </c>
      <c r="C75" s="86" t="s">
        <v>19</v>
      </c>
      <c r="D75" s="88">
        <v>0.153</v>
      </c>
      <c r="E75" s="97">
        <f>E74*D75</f>
        <v>10.2949875</v>
      </c>
    </row>
    <row r="76" spans="1:5" s="4" customFormat="1" ht="15" x14ac:dyDescent="0.25">
      <c r="A76" s="113"/>
      <c r="B76" s="85" t="s">
        <v>156</v>
      </c>
      <c r="C76" s="86" t="s">
        <v>10</v>
      </c>
      <c r="D76" s="88">
        <v>1.1599999999999999</v>
      </c>
      <c r="E76" s="97">
        <f>D76*E74</f>
        <v>78.053499999999985</v>
      </c>
    </row>
    <row r="77" spans="1:5" s="4" customFormat="1" ht="15" x14ac:dyDescent="0.25">
      <c r="A77" s="113"/>
      <c r="B77" s="85" t="s">
        <v>15</v>
      </c>
      <c r="C77" s="86" t="s">
        <v>13</v>
      </c>
      <c r="D77" s="88">
        <v>0.8</v>
      </c>
      <c r="E77" s="97">
        <f>D77*E74</f>
        <v>53.83</v>
      </c>
    </row>
    <row r="78" spans="1:5" s="4" customFormat="1" ht="30" customHeight="1" x14ac:dyDescent="0.25">
      <c r="A78" s="110" t="s">
        <v>91</v>
      </c>
      <c r="B78" s="114" t="s">
        <v>97</v>
      </c>
      <c r="C78" s="95" t="s">
        <v>10</v>
      </c>
      <c r="D78" s="121"/>
      <c r="E78" s="112">
        <f>192.25*0.55</f>
        <v>105.73750000000001</v>
      </c>
    </row>
    <row r="79" spans="1:5" s="4" customFormat="1" ht="15" x14ac:dyDescent="0.25">
      <c r="A79" s="113"/>
      <c r="B79" s="85" t="s">
        <v>156</v>
      </c>
      <c r="C79" s="86" t="s">
        <v>10</v>
      </c>
      <c r="D79" s="88">
        <v>1.1599999999999999</v>
      </c>
      <c r="E79" s="97">
        <f>D79*E78</f>
        <v>122.6555</v>
      </c>
    </row>
    <row r="80" spans="1:5" s="4" customFormat="1" ht="15" x14ac:dyDescent="0.25">
      <c r="A80" s="113"/>
      <c r="B80" s="85" t="s">
        <v>15</v>
      </c>
      <c r="C80" s="86" t="s">
        <v>13</v>
      </c>
      <c r="D80" s="88">
        <v>0.8</v>
      </c>
      <c r="E80" s="97">
        <f>D80*E78</f>
        <v>84.590000000000018</v>
      </c>
    </row>
    <row r="81" spans="1:5" s="4" customFormat="1" ht="30" customHeight="1" x14ac:dyDescent="0.25">
      <c r="A81" s="110" t="s">
        <v>92</v>
      </c>
      <c r="B81" s="114" t="s">
        <v>96</v>
      </c>
      <c r="C81" s="95" t="s">
        <v>10</v>
      </c>
      <c r="D81" s="121"/>
      <c r="E81" s="112">
        <f>192.25*0.75</f>
        <v>144.1875</v>
      </c>
    </row>
    <row r="82" spans="1:5" s="4" customFormat="1" ht="15.75" customHeight="1" x14ac:dyDescent="0.25">
      <c r="A82" s="116"/>
      <c r="B82" s="85" t="s">
        <v>157</v>
      </c>
      <c r="C82" s="86" t="s">
        <v>10</v>
      </c>
      <c r="D82" s="88">
        <v>1.1399999999999999</v>
      </c>
      <c r="E82" s="97">
        <f>E81*D82</f>
        <v>164.37374999999997</v>
      </c>
    </row>
    <row r="83" spans="1:5" s="3" customFormat="1" ht="15.75" customHeight="1" x14ac:dyDescent="0.25">
      <c r="A83" s="116"/>
      <c r="B83" s="85" t="s">
        <v>15</v>
      </c>
      <c r="C83" s="86" t="s">
        <v>13</v>
      </c>
      <c r="D83" s="88">
        <v>0.8</v>
      </c>
      <c r="E83" s="97">
        <f>D83*E81</f>
        <v>115.35000000000001</v>
      </c>
    </row>
    <row r="84" spans="1:5" s="4" customFormat="1" ht="28.5" x14ac:dyDescent="0.25">
      <c r="A84" s="110" t="s">
        <v>93</v>
      </c>
      <c r="B84" s="114" t="s">
        <v>103</v>
      </c>
      <c r="C84" s="95" t="s">
        <v>10</v>
      </c>
      <c r="D84" s="121"/>
      <c r="E84" s="112">
        <f>192.25*0.6</f>
        <v>115.35</v>
      </c>
    </row>
    <row r="85" spans="1:5" s="4" customFormat="1" ht="15.75" customHeight="1" x14ac:dyDescent="0.25">
      <c r="A85" s="116"/>
      <c r="B85" s="85" t="s">
        <v>200</v>
      </c>
      <c r="C85" s="86" t="s">
        <v>10</v>
      </c>
      <c r="D85" s="88">
        <v>1.04</v>
      </c>
      <c r="E85" s="97">
        <f>E84*D85</f>
        <v>119.964</v>
      </c>
    </row>
    <row r="86" spans="1:5" s="4" customFormat="1" ht="15.75" customHeight="1" x14ac:dyDescent="0.25">
      <c r="A86" s="116"/>
      <c r="B86" s="94" t="s">
        <v>52</v>
      </c>
      <c r="C86" s="86" t="s">
        <v>26</v>
      </c>
      <c r="D86" s="88">
        <v>9</v>
      </c>
      <c r="E86" s="98">
        <f>E84*D86</f>
        <v>1038.1499999999999</v>
      </c>
    </row>
    <row r="87" spans="1:5" s="4" customFormat="1" ht="28.5" x14ac:dyDescent="0.25">
      <c r="A87" s="110" t="s">
        <v>104</v>
      </c>
      <c r="B87" s="114" t="s">
        <v>102</v>
      </c>
      <c r="C87" s="95" t="s">
        <v>10</v>
      </c>
      <c r="D87" s="122"/>
      <c r="E87" s="112">
        <f>75.42</f>
        <v>75.42</v>
      </c>
    </row>
    <row r="88" spans="1:5" s="4" customFormat="1" ht="15.75" customHeight="1" x14ac:dyDescent="0.25">
      <c r="A88" s="116"/>
      <c r="B88" s="85" t="s">
        <v>51</v>
      </c>
      <c r="C88" s="86" t="s">
        <v>10</v>
      </c>
      <c r="D88" s="88">
        <v>1.1000000000000001</v>
      </c>
      <c r="E88" s="98">
        <f>E87*D88</f>
        <v>82.962000000000003</v>
      </c>
    </row>
    <row r="89" spans="1:5" s="4" customFormat="1" ht="15.75" customHeight="1" x14ac:dyDescent="0.25">
      <c r="A89" s="116"/>
      <c r="B89" s="76" t="s">
        <v>204</v>
      </c>
      <c r="C89" s="89" t="s">
        <v>21</v>
      </c>
      <c r="D89" s="92">
        <v>12.982424058605142</v>
      </c>
      <c r="E89" s="99">
        <f>192.95*4.81*1.055</f>
        <v>979.1344224999998</v>
      </c>
    </row>
    <row r="90" spans="1:5" s="4" customFormat="1" ht="15.75" customHeight="1" x14ac:dyDescent="0.25">
      <c r="A90" s="116"/>
      <c r="B90" s="94" t="s">
        <v>52</v>
      </c>
      <c r="C90" s="86" t="s">
        <v>26</v>
      </c>
      <c r="D90" s="88">
        <v>9</v>
      </c>
      <c r="E90" s="98">
        <f>E87*D90</f>
        <v>678.78</v>
      </c>
    </row>
    <row r="91" spans="1:5" s="4" customFormat="1" ht="40.5" customHeight="1" x14ac:dyDescent="0.25">
      <c r="A91" s="110" t="s">
        <v>105</v>
      </c>
      <c r="B91" s="114" t="s">
        <v>101</v>
      </c>
      <c r="C91" s="95" t="s">
        <v>26</v>
      </c>
      <c r="D91" s="122"/>
      <c r="E91" s="112">
        <v>23</v>
      </c>
    </row>
    <row r="92" spans="1:5" s="4" customFormat="1" ht="15.75" customHeight="1" x14ac:dyDescent="0.25">
      <c r="A92" s="116"/>
      <c r="B92" s="85" t="s">
        <v>53</v>
      </c>
      <c r="C92" s="86" t="s">
        <v>26</v>
      </c>
      <c r="D92" s="88">
        <v>1</v>
      </c>
      <c r="E92" s="97">
        <f>D92*E91</f>
        <v>23</v>
      </c>
    </row>
    <row r="93" spans="1:5" s="4" customFormat="1" ht="28.5" x14ac:dyDescent="0.25">
      <c r="A93" s="118" t="s">
        <v>45</v>
      </c>
      <c r="B93" s="119" t="s">
        <v>164</v>
      </c>
      <c r="C93" s="119"/>
      <c r="D93" s="119"/>
      <c r="E93" s="120"/>
    </row>
    <row r="94" spans="1:5" s="4" customFormat="1" ht="31.5" customHeight="1" x14ac:dyDescent="0.25">
      <c r="A94" s="110" t="s">
        <v>94</v>
      </c>
      <c r="B94" s="111" t="s">
        <v>165</v>
      </c>
      <c r="C94" s="95" t="s">
        <v>26</v>
      </c>
      <c r="D94" s="111"/>
      <c r="E94" s="112">
        <v>5</v>
      </c>
    </row>
    <row r="95" spans="1:5" s="4" customFormat="1" ht="15.75" customHeight="1" x14ac:dyDescent="0.25">
      <c r="A95" s="113"/>
      <c r="B95" s="85" t="s">
        <v>84</v>
      </c>
      <c r="C95" s="86" t="s">
        <v>26</v>
      </c>
      <c r="D95" s="88">
        <v>1</v>
      </c>
      <c r="E95" s="97">
        <f>D95*E94</f>
        <v>5</v>
      </c>
    </row>
    <row r="96" spans="1:5" s="4" customFormat="1" ht="15.75" customHeight="1" x14ac:dyDescent="0.25">
      <c r="A96" s="113"/>
      <c r="B96" s="85" t="s">
        <v>54</v>
      </c>
      <c r="C96" s="86" t="s">
        <v>26</v>
      </c>
      <c r="D96" s="90">
        <v>1</v>
      </c>
      <c r="E96" s="97">
        <f>D96*E94</f>
        <v>5</v>
      </c>
    </row>
    <row r="97" spans="1:5" s="4" customFormat="1" ht="15.75" customHeight="1" x14ac:dyDescent="0.25">
      <c r="A97" s="113"/>
      <c r="B97" s="85" t="s">
        <v>55</v>
      </c>
      <c r="C97" s="86" t="s">
        <v>26</v>
      </c>
      <c r="D97" s="90">
        <v>1</v>
      </c>
      <c r="E97" s="97">
        <f>D97*E95</f>
        <v>5</v>
      </c>
    </row>
    <row r="98" spans="1:5" s="7" customFormat="1" ht="15.75" customHeight="1" x14ac:dyDescent="0.25">
      <c r="A98" s="116"/>
      <c r="B98" s="85" t="s">
        <v>56</v>
      </c>
      <c r="C98" s="86" t="s">
        <v>26</v>
      </c>
      <c r="D98" s="88">
        <v>1</v>
      </c>
      <c r="E98" s="97">
        <f>D98*E94</f>
        <v>5</v>
      </c>
    </row>
    <row r="99" spans="1:5" s="4" customFormat="1" ht="13.5" customHeight="1" x14ac:dyDescent="0.25">
      <c r="A99" s="113"/>
      <c r="B99" s="85" t="s">
        <v>49</v>
      </c>
      <c r="C99" s="86" t="s">
        <v>29</v>
      </c>
      <c r="D99" s="90">
        <v>1</v>
      </c>
      <c r="E99" s="97">
        <f>D99*E94</f>
        <v>5</v>
      </c>
    </row>
    <row r="100" spans="1:5" s="4" customFormat="1" ht="15.75" customHeight="1" x14ac:dyDescent="0.25">
      <c r="A100" s="113"/>
      <c r="B100" s="85" t="s">
        <v>57</v>
      </c>
      <c r="C100" s="86" t="s">
        <v>19</v>
      </c>
      <c r="D100" s="90">
        <v>0.01</v>
      </c>
      <c r="E100" s="97">
        <f>E94*D100</f>
        <v>0.05</v>
      </c>
    </row>
    <row r="101" spans="1:5" s="4" customFormat="1" ht="15.75" customHeight="1" x14ac:dyDescent="0.25">
      <c r="A101" s="113"/>
      <c r="B101" s="85" t="s">
        <v>58</v>
      </c>
      <c r="C101" s="86" t="s">
        <v>19</v>
      </c>
      <c r="D101" s="90">
        <v>0.01</v>
      </c>
      <c r="E101" s="97">
        <f>E94*D101</f>
        <v>0.05</v>
      </c>
    </row>
    <row r="102" spans="1:5" ht="30" customHeight="1" x14ac:dyDescent="0.25">
      <c r="A102" s="110" t="s">
        <v>95</v>
      </c>
      <c r="B102" s="114" t="s">
        <v>59</v>
      </c>
      <c r="C102" s="95" t="s">
        <v>10</v>
      </c>
      <c r="D102" s="117"/>
      <c r="E102" s="112">
        <v>5</v>
      </c>
    </row>
    <row r="103" spans="1:5" s="7" customFormat="1" ht="15.75" customHeight="1" x14ac:dyDescent="0.25">
      <c r="A103" s="116"/>
      <c r="B103" s="85" t="s">
        <v>12</v>
      </c>
      <c r="C103" s="86" t="s">
        <v>13</v>
      </c>
      <c r="D103" s="88">
        <v>0.35</v>
      </c>
      <c r="E103" s="97">
        <f>D103*E102</f>
        <v>1.75</v>
      </c>
    </row>
    <row r="104" spans="1:5" s="7" customFormat="1" ht="15.75" customHeight="1" x14ac:dyDescent="0.25">
      <c r="A104" s="116"/>
      <c r="B104" s="85" t="s">
        <v>156</v>
      </c>
      <c r="C104" s="86" t="s">
        <v>10</v>
      </c>
      <c r="D104" s="88">
        <v>1.1599999999999999</v>
      </c>
      <c r="E104" s="97">
        <f>D104*E102</f>
        <v>5.8</v>
      </c>
    </row>
    <row r="105" spans="1:5" s="7" customFormat="1" ht="15.75" customHeight="1" x14ac:dyDescent="0.25">
      <c r="A105" s="116"/>
      <c r="B105" s="85" t="s">
        <v>157</v>
      </c>
      <c r="C105" s="86" t="s">
        <v>10</v>
      </c>
      <c r="D105" s="88">
        <v>1.1399999999999999</v>
      </c>
      <c r="E105" s="97">
        <f>D105*E102</f>
        <v>5.6999999999999993</v>
      </c>
    </row>
    <row r="106" spans="1:5" s="7" customFormat="1" ht="15.75" customHeight="1" x14ac:dyDescent="0.25">
      <c r="A106" s="116"/>
      <c r="B106" s="85" t="s">
        <v>15</v>
      </c>
      <c r="C106" s="86" t="s">
        <v>13</v>
      </c>
      <c r="D106" s="88">
        <v>0.8</v>
      </c>
      <c r="E106" s="97">
        <f>E102*D106</f>
        <v>4</v>
      </c>
    </row>
    <row r="107" spans="1:5" s="7" customFormat="1" ht="15.75" customHeight="1" x14ac:dyDescent="0.25">
      <c r="A107" s="116"/>
      <c r="B107" s="85" t="s">
        <v>36</v>
      </c>
      <c r="C107" s="86" t="s">
        <v>21</v>
      </c>
      <c r="D107" s="88">
        <v>4.5000000000000005E-2</v>
      </c>
      <c r="E107" s="97">
        <f>E102*D107</f>
        <v>0.22500000000000003</v>
      </c>
    </row>
    <row r="108" spans="1:5" s="4" customFormat="1" ht="28.5" x14ac:dyDescent="0.25">
      <c r="A108" s="118" t="s">
        <v>47</v>
      </c>
      <c r="B108" s="119" t="s">
        <v>110</v>
      </c>
      <c r="C108" s="123" t="s">
        <v>26</v>
      </c>
      <c r="D108" s="119"/>
      <c r="E108" s="124">
        <v>6</v>
      </c>
    </row>
    <row r="109" spans="1:5" s="4" customFormat="1" ht="28.5" x14ac:dyDescent="0.25">
      <c r="A109" s="118" t="s">
        <v>48</v>
      </c>
      <c r="B109" s="119" t="s">
        <v>106</v>
      </c>
      <c r="C109" s="123" t="s">
        <v>26</v>
      </c>
      <c r="D109" s="119"/>
      <c r="E109" s="124">
        <v>6</v>
      </c>
    </row>
    <row r="110" spans="1:5" s="3" customFormat="1" ht="15.75" customHeight="1" x14ac:dyDescent="0.25">
      <c r="A110" s="125"/>
      <c r="B110" s="94" t="s">
        <v>107</v>
      </c>
      <c r="C110" s="93" t="s">
        <v>21</v>
      </c>
      <c r="D110" s="88">
        <v>0.55000000000000004</v>
      </c>
      <c r="E110" s="97">
        <f>D110*E108</f>
        <v>3.3000000000000003</v>
      </c>
    </row>
    <row r="111" spans="1:5" s="4" customFormat="1" ht="15.75" customHeight="1" x14ac:dyDescent="0.25">
      <c r="A111" s="125"/>
      <c r="B111" s="94" t="s">
        <v>108</v>
      </c>
      <c r="C111" s="93" t="s">
        <v>26</v>
      </c>
      <c r="D111" s="88">
        <v>1</v>
      </c>
      <c r="E111" s="97">
        <f>D111*E108</f>
        <v>6</v>
      </c>
    </row>
    <row r="112" spans="1:5" s="4" customFormat="1" ht="15.75" customHeight="1" x14ac:dyDescent="0.25">
      <c r="A112" s="125"/>
      <c r="B112" s="94" t="s">
        <v>109</v>
      </c>
      <c r="C112" s="93" t="s">
        <v>26</v>
      </c>
      <c r="D112" s="88">
        <v>4</v>
      </c>
      <c r="E112" s="97">
        <f>D112*E108</f>
        <v>24</v>
      </c>
    </row>
    <row r="113" spans="1:5" s="4" customFormat="1" ht="14.25" x14ac:dyDescent="0.25">
      <c r="A113" s="118" t="s">
        <v>50</v>
      </c>
      <c r="B113" s="119" t="s">
        <v>82</v>
      </c>
      <c r="C113" s="123" t="s">
        <v>26</v>
      </c>
      <c r="D113" s="119"/>
      <c r="E113" s="124">
        <v>6</v>
      </c>
    </row>
    <row r="114" spans="1:5" s="3" customFormat="1" ht="15.75" customHeight="1" x14ac:dyDescent="0.25">
      <c r="A114" s="125"/>
      <c r="B114" s="94" t="s">
        <v>60</v>
      </c>
      <c r="C114" s="93" t="s">
        <v>26</v>
      </c>
      <c r="D114" s="88">
        <v>2</v>
      </c>
      <c r="E114" s="97">
        <f>D114*E113</f>
        <v>12</v>
      </c>
    </row>
    <row r="115" spans="1:5" s="4" customFormat="1" ht="15.75" customHeight="1" x14ac:dyDescent="0.25">
      <c r="A115" s="125"/>
      <c r="B115" s="94" t="s">
        <v>61</v>
      </c>
      <c r="C115" s="93" t="s">
        <v>26</v>
      </c>
      <c r="D115" s="88">
        <v>3</v>
      </c>
      <c r="E115" s="97">
        <f>D115*E113</f>
        <v>18</v>
      </c>
    </row>
    <row r="116" spans="1:5" s="4" customFormat="1" ht="15.75" customHeight="1" x14ac:dyDescent="0.25">
      <c r="A116" s="125"/>
      <c r="B116" s="94" t="s">
        <v>62</v>
      </c>
      <c r="C116" s="93" t="s">
        <v>26</v>
      </c>
      <c r="D116" s="88">
        <v>1</v>
      </c>
      <c r="E116" s="97">
        <f>D116*E113</f>
        <v>6</v>
      </c>
    </row>
    <row r="117" spans="1:5" s="4" customFormat="1" ht="15.75" customHeight="1" x14ac:dyDescent="0.25">
      <c r="A117" s="125"/>
      <c r="B117" s="94" t="s">
        <v>63</v>
      </c>
      <c r="C117" s="93" t="s">
        <v>26</v>
      </c>
      <c r="D117" s="88">
        <v>1</v>
      </c>
      <c r="E117" s="97">
        <f>D117*E113</f>
        <v>6</v>
      </c>
    </row>
    <row r="118" spans="1:5" s="4" customFormat="1" ht="14.25" x14ac:dyDescent="0.25">
      <c r="A118" s="118" t="s">
        <v>74</v>
      </c>
      <c r="B118" s="119" t="s">
        <v>81</v>
      </c>
      <c r="C118" s="123" t="s">
        <v>10</v>
      </c>
      <c r="D118" s="119"/>
      <c r="E118" s="126">
        <v>175.48</v>
      </c>
    </row>
    <row r="119" spans="1:5" s="4" customFormat="1" ht="26.25" customHeight="1" x14ac:dyDescent="0.25">
      <c r="A119" s="125"/>
      <c r="B119" s="85" t="s">
        <v>158</v>
      </c>
      <c r="C119" s="86" t="s">
        <v>10</v>
      </c>
      <c r="D119" s="90">
        <v>1.1000000000000001</v>
      </c>
      <c r="E119" s="100">
        <f>E118*D119</f>
        <v>193.02799999999999</v>
      </c>
    </row>
    <row r="120" spans="1:5" s="4" customFormat="1" ht="26.25" customHeight="1" thickBot="1" x14ac:dyDescent="0.3">
      <c r="A120" s="127"/>
      <c r="B120" s="101" t="s">
        <v>203</v>
      </c>
      <c r="C120" s="102" t="s">
        <v>10</v>
      </c>
      <c r="D120" s="103">
        <v>1.02</v>
      </c>
      <c r="E120" s="104">
        <f>D120*E118</f>
        <v>178.9896</v>
      </c>
    </row>
    <row r="121" spans="1:5" ht="15.75" customHeight="1" x14ac:dyDescent="0.25">
      <c r="A121" s="8"/>
      <c r="B121" s="9"/>
      <c r="C121" s="10"/>
      <c r="D121" s="12"/>
      <c r="E121" s="12"/>
    </row>
    <row r="122" spans="1:5" ht="15.75" x14ac:dyDescent="0.25">
      <c r="B122" s="33" t="s">
        <v>71</v>
      </c>
      <c r="C122" s="34"/>
      <c r="D122" s="35"/>
      <c r="E122" s="43" t="s">
        <v>73</v>
      </c>
    </row>
    <row r="123" spans="1:5" ht="25.5" customHeight="1" x14ac:dyDescent="0.25">
      <c r="B123" s="33"/>
      <c r="C123" s="36"/>
      <c r="D123" s="37"/>
      <c r="E123" s="43"/>
    </row>
    <row r="124" spans="1:5" ht="15.75" x14ac:dyDescent="0.25">
      <c r="B124" s="38" t="s">
        <v>72</v>
      </c>
      <c r="C124" s="39"/>
      <c r="D124" s="40"/>
      <c r="E124" s="20" t="s">
        <v>149</v>
      </c>
    </row>
    <row r="125" spans="1:5" ht="18.75" customHeight="1" x14ac:dyDescent="0.25">
      <c r="B125" s="48"/>
      <c r="C125" s="21"/>
      <c r="D125" s="41"/>
      <c r="E125" s="44"/>
    </row>
    <row r="126" spans="1:5" ht="24.95" customHeight="1" x14ac:dyDescent="0.25">
      <c r="B126" s="48" t="s">
        <v>216</v>
      </c>
      <c r="C126" s="42"/>
      <c r="D126" s="57"/>
      <c r="E126" s="44" t="s">
        <v>217</v>
      </c>
    </row>
    <row r="127" spans="1:5" ht="24.95" customHeight="1" x14ac:dyDescent="0.2">
      <c r="B127" s="22"/>
      <c r="C127" s="23"/>
      <c r="D127" s="24"/>
      <c r="E127" s="16"/>
    </row>
    <row r="128" spans="1:5" ht="15.75" x14ac:dyDescent="0.25">
      <c r="B128" s="17"/>
      <c r="C128" s="15"/>
      <c r="D128" s="15"/>
      <c r="E128" s="18"/>
    </row>
    <row r="130" spans="2:5" ht="15.75" x14ac:dyDescent="0.25">
      <c r="B130" s="19"/>
      <c r="C130" s="19"/>
      <c r="D130" s="19"/>
      <c r="E130" s="55"/>
    </row>
  </sheetData>
  <autoFilter ref="A15:E120" xr:uid="{00000000-0009-0000-0000-000000000000}"/>
  <mergeCells count="7">
    <mergeCell ref="B12:E12"/>
    <mergeCell ref="B11:E11"/>
    <mergeCell ref="D2:E2"/>
    <mergeCell ref="A13:A14"/>
    <mergeCell ref="B13:B14"/>
    <mergeCell ref="C13:C14"/>
    <mergeCell ref="E13:E14"/>
  </mergeCells>
  <pageMargins left="0.31496062992125984" right="0.11811023622047245" top="0.19685039370078741" bottom="0.19685039370078741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BF53E-A9E4-4B89-8A38-CD440449EABD}">
  <sheetPr>
    <pageSetUpPr fitToPage="1"/>
  </sheetPr>
  <dimension ref="A1:W57"/>
  <sheetViews>
    <sheetView workbookViewId="0">
      <selection activeCell="I53" sqref="I53"/>
    </sheetView>
  </sheetViews>
  <sheetFormatPr defaultRowHeight="15" x14ac:dyDescent="0.25"/>
  <cols>
    <col min="2" max="2" width="68.7109375" customWidth="1"/>
    <col min="3" max="3" width="15.42578125" customWidth="1"/>
    <col min="4" max="4" width="26.28515625" customWidth="1"/>
  </cols>
  <sheetData>
    <row r="1" spans="1:23" s="65" customFormat="1" ht="15.75" customHeight="1" x14ac:dyDescent="0.25">
      <c r="A1" s="66" t="s">
        <v>0</v>
      </c>
      <c r="B1" s="66"/>
      <c r="C1" s="66"/>
      <c r="D1" s="67" t="s">
        <v>68</v>
      </c>
      <c r="F1" s="28"/>
      <c r="G1" s="28"/>
      <c r="H1" s="28"/>
      <c r="I1" s="28"/>
      <c r="J1" s="28"/>
      <c r="K1" s="28"/>
      <c r="L1" s="28"/>
      <c r="M1" s="28"/>
      <c r="N1" s="28"/>
      <c r="O1" s="68"/>
      <c r="P1" s="68"/>
      <c r="R1" s="64"/>
      <c r="S1" s="64"/>
      <c r="T1" s="64"/>
      <c r="U1" s="64"/>
      <c r="V1" s="64"/>
      <c r="W1" s="64"/>
    </row>
    <row r="2" spans="1:23" s="65" customFormat="1" ht="15.75" customHeight="1" x14ac:dyDescent="0.25">
      <c r="A2" s="69" t="s">
        <v>75</v>
      </c>
      <c r="B2" s="69"/>
      <c r="C2" s="69"/>
      <c r="D2" s="56" t="s">
        <v>69</v>
      </c>
      <c r="F2" s="68"/>
      <c r="G2" s="68"/>
      <c r="H2" s="56"/>
      <c r="I2" s="68"/>
      <c r="J2" s="68"/>
      <c r="K2" s="56"/>
      <c r="L2" s="68"/>
      <c r="M2" s="68"/>
      <c r="N2" s="56"/>
      <c r="O2" s="68"/>
      <c r="P2" s="68"/>
      <c r="R2" s="64"/>
      <c r="S2" s="64"/>
      <c r="T2" s="64"/>
      <c r="U2" s="64"/>
      <c r="V2" s="64"/>
      <c r="W2" s="64"/>
    </row>
    <row r="3" spans="1:23" s="65" customFormat="1" ht="15.75" customHeight="1" x14ac:dyDescent="0.25">
      <c r="A3" s="66" t="s">
        <v>1</v>
      </c>
      <c r="B3" s="66"/>
      <c r="D3" s="56" t="s">
        <v>159</v>
      </c>
      <c r="F3" s="56"/>
      <c r="G3" s="56"/>
      <c r="H3" s="28"/>
      <c r="I3" s="56"/>
      <c r="J3" s="56"/>
      <c r="K3" s="28"/>
      <c r="L3" s="56"/>
      <c r="M3" s="56"/>
      <c r="N3" s="28"/>
      <c r="O3" s="68"/>
      <c r="P3" s="68"/>
      <c r="Q3" s="28"/>
      <c r="R3" s="64"/>
      <c r="S3" s="64"/>
      <c r="T3" s="64"/>
      <c r="U3" s="64"/>
      <c r="V3" s="64"/>
      <c r="W3" s="64"/>
    </row>
    <row r="4" spans="1:23" s="65" customFormat="1" ht="15.75" customHeight="1" x14ac:dyDescent="0.25">
      <c r="A4" s="69" t="s">
        <v>2</v>
      </c>
      <c r="B4" s="69"/>
      <c r="C4" s="69"/>
      <c r="D4" s="70"/>
      <c r="F4" s="56"/>
      <c r="G4" s="56"/>
      <c r="H4" s="56"/>
      <c r="I4" s="56"/>
      <c r="J4" s="56"/>
      <c r="K4" s="56"/>
      <c r="L4" s="56"/>
      <c r="M4" s="56"/>
      <c r="N4" s="56"/>
      <c r="O4" s="68"/>
      <c r="P4" s="68"/>
      <c r="R4" s="64"/>
      <c r="S4" s="64"/>
      <c r="T4" s="64"/>
      <c r="U4" s="64"/>
      <c r="V4" s="64"/>
      <c r="W4" s="64"/>
    </row>
    <row r="5" spans="1:23" s="65" customFormat="1" ht="15.75" customHeight="1" x14ac:dyDescent="0.25">
      <c r="A5" s="69" t="s">
        <v>3</v>
      </c>
      <c r="B5" s="69"/>
      <c r="C5" s="69"/>
      <c r="D5" s="56" t="s">
        <v>70</v>
      </c>
      <c r="F5" s="56"/>
      <c r="G5" s="56"/>
      <c r="H5" s="30"/>
      <c r="I5" s="56"/>
      <c r="J5" s="56"/>
      <c r="K5" s="30"/>
      <c r="L5" s="56"/>
      <c r="M5" s="56"/>
      <c r="N5" s="30"/>
      <c r="O5" s="68"/>
      <c r="P5" s="68"/>
      <c r="Q5" s="30"/>
      <c r="R5" s="64"/>
      <c r="S5" s="64"/>
      <c r="T5" s="64"/>
      <c r="U5" s="64"/>
      <c r="V5" s="64"/>
      <c r="W5" s="64"/>
    </row>
    <row r="6" spans="1:23" s="65" customFormat="1" ht="15.75" customHeight="1" x14ac:dyDescent="0.25">
      <c r="A6" s="45" t="s">
        <v>76</v>
      </c>
      <c r="B6" s="45"/>
      <c r="C6" s="45"/>
      <c r="F6" s="56"/>
      <c r="G6" s="56"/>
      <c r="H6" s="56"/>
      <c r="I6" s="56"/>
      <c r="J6" s="56"/>
      <c r="K6" s="56"/>
      <c r="L6" s="56"/>
      <c r="M6" s="56"/>
      <c r="N6" s="56"/>
      <c r="O6" s="68"/>
      <c r="R6" s="64"/>
      <c r="S6" s="64"/>
      <c r="T6" s="64"/>
      <c r="U6" s="64"/>
      <c r="V6" s="64"/>
      <c r="W6" s="64"/>
    </row>
    <row r="7" spans="1:23" s="65" customFormat="1" ht="15.75" customHeight="1" x14ac:dyDescent="0.4">
      <c r="A7" s="71"/>
      <c r="B7" s="71"/>
      <c r="D7" s="56" t="s">
        <v>167</v>
      </c>
      <c r="F7" s="56"/>
      <c r="G7" s="56"/>
      <c r="H7" s="56"/>
      <c r="I7" s="56"/>
      <c r="J7" s="56"/>
      <c r="K7" s="56"/>
      <c r="L7" s="56"/>
      <c r="M7" s="56"/>
      <c r="N7" s="56"/>
      <c r="O7" s="68"/>
      <c r="R7" s="64"/>
      <c r="S7" s="64"/>
      <c r="T7" s="64"/>
      <c r="U7" s="64"/>
      <c r="V7" s="64"/>
      <c r="W7" s="64"/>
    </row>
    <row r="10" spans="1:23" ht="20.25" x14ac:dyDescent="0.25">
      <c r="A10" s="138" t="s">
        <v>168</v>
      </c>
      <c r="B10" s="138"/>
      <c r="C10" s="138"/>
      <c r="D10" s="138"/>
    </row>
    <row r="11" spans="1:23" ht="15.75" x14ac:dyDescent="0.25">
      <c r="A11" s="139" t="s">
        <v>196</v>
      </c>
      <c r="B11" s="139"/>
      <c r="C11" s="139"/>
      <c r="D11" s="139"/>
    </row>
    <row r="12" spans="1:23" ht="15.75" x14ac:dyDescent="0.25">
      <c r="A12" s="72"/>
      <c r="B12" s="72"/>
      <c r="C12" s="72"/>
      <c r="D12" s="72"/>
    </row>
    <row r="13" spans="1:23" ht="63" x14ac:dyDescent="0.25">
      <c r="A13" s="74" t="s">
        <v>4</v>
      </c>
      <c r="B13" s="75" t="s">
        <v>5</v>
      </c>
      <c r="C13" s="75" t="s">
        <v>169</v>
      </c>
      <c r="D13" s="75" t="s">
        <v>170</v>
      </c>
    </row>
    <row r="14" spans="1:23" ht="30" x14ac:dyDescent="0.25">
      <c r="A14" s="79" t="s">
        <v>9</v>
      </c>
      <c r="B14" s="77" t="s">
        <v>46</v>
      </c>
      <c r="C14" s="80" t="s">
        <v>171</v>
      </c>
      <c r="D14" s="81">
        <f>'ВОР  кровля ДДУ16.04.2024'!E72</f>
        <v>1593.1456000000001</v>
      </c>
    </row>
    <row r="15" spans="1:23" ht="15.75" x14ac:dyDescent="0.25">
      <c r="A15" s="79" t="s">
        <v>37</v>
      </c>
      <c r="B15" s="77" t="s">
        <v>197</v>
      </c>
      <c r="C15" s="80" t="s">
        <v>21</v>
      </c>
      <c r="D15" s="82">
        <f>'ВОР  кровля ДДУ16.04.2024'!E25</f>
        <v>336.73750000000001</v>
      </c>
    </row>
    <row r="16" spans="1:23" ht="15.75" x14ac:dyDescent="0.25">
      <c r="A16" s="79" t="s">
        <v>44</v>
      </c>
      <c r="B16" s="77" t="s">
        <v>34</v>
      </c>
      <c r="C16" s="80" t="s">
        <v>171</v>
      </c>
      <c r="D16" s="82">
        <f>'ВОР  кровля ДДУ16.04.2024'!E49</f>
        <v>19</v>
      </c>
    </row>
    <row r="17" spans="1:4" ht="15.75" x14ac:dyDescent="0.25">
      <c r="A17" s="79" t="s">
        <v>45</v>
      </c>
      <c r="B17" s="77" t="s">
        <v>150</v>
      </c>
      <c r="C17" s="80" t="s">
        <v>10</v>
      </c>
      <c r="D17" s="82">
        <f>'ВОР  кровля ДДУ16.04.2024'!E19</f>
        <v>2391.2904400000002</v>
      </c>
    </row>
    <row r="18" spans="1:4" ht="15.75" x14ac:dyDescent="0.25">
      <c r="A18" s="79" t="s">
        <v>47</v>
      </c>
      <c r="B18" s="78" t="s">
        <v>62</v>
      </c>
      <c r="C18" s="80" t="s">
        <v>171</v>
      </c>
      <c r="D18" s="82">
        <f>'ВОР  кровля ДДУ16.04.2024'!E116</f>
        <v>6</v>
      </c>
    </row>
    <row r="19" spans="1:4" ht="15.75" x14ac:dyDescent="0.25">
      <c r="A19" s="79" t="s">
        <v>48</v>
      </c>
      <c r="B19" s="77" t="s">
        <v>15</v>
      </c>
      <c r="C19" s="80" t="s">
        <v>13</v>
      </c>
      <c r="D19" s="82">
        <f>'ВОР  кровля ДДУ16.04.2024'!E20+'ВОР  кровля ДДУ16.04.2024'!E29+'ВОР  кровля ДДУ16.04.2024'!E44+'ВОР  кровля ДДУ16.04.2024'!E47+'ВОР  кровля ДДУ16.04.2024'!E51+'ВОР  кровля ДДУ16.04.2024'!E57+'ВОР  кровля ДДУ16.04.2024'!E62+'ВОР  кровля ДДУ16.04.2024'!E65+'ВОР  кровля ДДУ16.04.2024'!E68+'ВОР  кровля ДДУ16.04.2024'!E77+'ВОР  кровля ДДУ16.04.2024'!E80+'ВОР  кровля ДДУ16.04.2024'!E83+'ВОР  кровля ДДУ16.04.2024'!E106</f>
        <v>7388.5055200000006</v>
      </c>
    </row>
    <row r="20" spans="1:4" ht="15.75" x14ac:dyDescent="0.25">
      <c r="A20" s="79" t="s">
        <v>50</v>
      </c>
      <c r="B20" s="77" t="s">
        <v>158</v>
      </c>
      <c r="C20" s="80" t="s">
        <v>10</v>
      </c>
      <c r="D20" s="82">
        <f>'ВОР  кровля ДДУ16.04.2024'!E119</f>
        <v>193.02799999999999</v>
      </c>
    </row>
    <row r="21" spans="1:4" ht="15.75" x14ac:dyDescent="0.25">
      <c r="A21" s="79" t="s">
        <v>74</v>
      </c>
      <c r="B21" s="77" t="s">
        <v>35</v>
      </c>
      <c r="C21" s="80" t="s">
        <v>171</v>
      </c>
      <c r="D21" s="82">
        <f>'ВОР  кровля ДДУ16.04.2024'!E52</f>
        <v>19</v>
      </c>
    </row>
    <row r="22" spans="1:4" ht="15.75" x14ac:dyDescent="0.25">
      <c r="A22" s="79" t="s">
        <v>172</v>
      </c>
      <c r="B22" s="77" t="s">
        <v>49</v>
      </c>
      <c r="C22" s="80" t="s">
        <v>198</v>
      </c>
      <c r="D22" s="82">
        <f>'ВОР  кровля ДДУ16.04.2024'!E99</f>
        <v>5</v>
      </c>
    </row>
    <row r="23" spans="1:4" ht="15.75" x14ac:dyDescent="0.25">
      <c r="A23" s="79" t="s">
        <v>173</v>
      </c>
      <c r="B23" s="77" t="s">
        <v>57</v>
      </c>
      <c r="C23" s="80" t="s">
        <v>19</v>
      </c>
      <c r="D23" s="81">
        <f>'ВОР  кровля ДДУ16.04.2024'!E100</f>
        <v>0.05</v>
      </c>
    </row>
    <row r="24" spans="1:4" ht="15.75" x14ac:dyDescent="0.25">
      <c r="A24" s="79" t="s">
        <v>174</v>
      </c>
      <c r="B24" s="78" t="s">
        <v>52</v>
      </c>
      <c r="C24" s="80" t="s">
        <v>171</v>
      </c>
      <c r="D24" s="83">
        <f>'ВОР  кровля ДДУ16.04.2024'!E86+'ВОР  кровля ДДУ16.04.2024'!E90</f>
        <v>1716.9299999999998</v>
      </c>
    </row>
    <row r="25" spans="1:4" ht="15.75" x14ac:dyDescent="0.25">
      <c r="A25" s="79" t="s">
        <v>175</v>
      </c>
      <c r="B25" s="77" t="s">
        <v>55</v>
      </c>
      <c r="C25" s="80" t="s">
        <v>171</v>
      </c>
      <c r="D25" s="82">
        <f>'ВОР  кровля ДДУ16.04.2024'!E97</f>
        <v>5</v>
      </c>
    </row>
    <row r="26" spans="1:4" ht="15.75" x14ac:dyDescent="0.25">
      <c r="A26" s="79" t="s">
        <v>176</v>
      </c>
      <c r="B26" s="77" t="s">
        <v>199</v>
      </c>
      <c r="C26" s="80" t="s">
        <v>171</v>
      </c>
      <c r="D26" s="82">
        <f>'ВОР  кровля ДДУ16.04.2024'!E92</f>
        <v>23</v>
      </c>
    </row>
    <row r="27" spans="1:4" ht="15.75" x14ac:dyDescent="0.25">
      <c r="A27" s="79" t="s">
        <v>177</v>
      </c>
      <c r="B27" s="77" t="s">
        <v>18</v>
      </c>
      <c r="C27" s="80" t="s">
        <v>19</v>
      </c>
      <c r="D27" s="83">
        <f>'ВОР  кровля ДДУ16.04.2024'!E31</f>
        <v>337.10039999999998</v>
      </c>
    </row>
    <row r="28" spans="1:4" ht="15.75" x14ac:dyDescent="0.25">
      <c r="A28" s="79" t="s">
        <v>178</v>
      </c>
      <c r="B28" s="78" t="s">
        <v>63</v>
      </c>
      <c r="C28" s="80" t="s">
        <v>171</v>
      </c>
      <c r="D28" s="82">
        <f>'ВОР  кровля ДДУ16.04.2024'!E117</f>
        <v>6</v>
      </c>
    </row>
    <row r="29" spans="1:4" ht="15.75" x14ac:dyDescent="0.25">
      <c r="A29" s="79" t="s">
        <v>179</v>
      </c>
      <c r="B29" s="77" t="s">
        <v>42</v>
      </c>
      <c r="C29" s="80" t="s">
        <v>171</v>
      </c>
      <c r="D29" s="82">
        <f>'ВОР  кровля ДДУ16.04.2024'!E70</f>
        <v>866</v>
      </c>
    </row>
    <row r="30" spans="1:4" ht="15.75" x14ac:dyDescent="0.25">
      <c r="A30" s="79" t="s">
        <v>180</v>
      </c>
      <c r="B30" s="77" t="s">
        <v>84</v>
      </c>
      <c r="C30" s="80" t="s">
        <v>171</v>
      </c>
      <c r="D30" s="82">
        <f>'ВОР  кровля ДДУ16.04.2024'!E95</f>
        <v>5</v>
      </c>
    </row>
    <row r="31" spans="1:4" ht="15.75" x14ac:dyDescent="0.25">
      <c r="A31" s="79" t="s">
        <v>181</v>
      </c>
      <c r="B31" s="77" t="s">
        <v>36</v>
      </c>
      <c r="C31" s="80" t="s">
        <v>21</v>
      </c>
      <c r="D31" s="83">
        <f>'ВОР  кровля ДДУ16.04.2024'!E58+'ВОР  кровля ДДУ16.04.2024'!E107</f>
        <v>1.5750000000000002</v>
      </c>
    </row>
    <row r="32" spans="1:4" ht="15.75" x14ac:dyDescent="0.25">
      <c r="A32" s="79" t="s">
        <v>182</v>
      </c>
      <c r="B32" s="77" t="s">
        <v>151</v>
      </c>
      <c r="C32" s="80" t="s">
        <v>19</v>
      </c>
      <c r="D32" s="83">
        <f>'ВОР  кровля ДДУ16.04.2024'!E22+'ВОР  кровля ДДУ16.04.2024'!E101</f>
        <v>196.31474900000001</v>
      </c>
    </row>
    <row r="33" spans="1:4" ht="15.75" x14ac:dyDescent="0.25">
      <c r="A33" s="79" t="s">
        <v>183</v>
      </c>
      <c r="B33" s="77" t="s">
        <v>152</v>
      </c>
      <c r="C33" s="84" t="s">
        <v>19</v>
      </c>
      <c r="D33" s="83">
        <f>'ВОР  кровля ДДУ16.04.2024'!E23</f>
        <v>196.26474899999999</v>
      </c>
    </row>
    <row r="34" spans="1:4" ht="15.75" x14ac:dyDescent="0.25">
      <c r="A34" s="79" t="s">
        <v>184</v>
      </c>
      <c r="B34" s="78" t="s">
        <v>61</v>
      </c>
      <c r="C34" s="84" t="s">
        <v>171</v>
      </c>
      <c r="D34" s="83">
        <f>'ВОР  кровля ДДУ16.04.2024'!E115</f>
        <v>18</v>
      </c>
    </row>
    <row r="35" spans="1:4" ht="15.75" x14ac:dyDescent="0.25">
      <c r="A35" s="79" t="s">
        <v>185</v>
      </c>
      <c r="B35" s="77" t="s">
        <v>200</v>
      </c>
      <c r="C35" s="80" t="s">
        <v>10</v>
      </c>
      <c r="D35" s="82">
        <f>'ВОР  кровля ДДУ16.04.2024'!E85+'ВОР  кровля ДДУ16.04.2024'!E71</f>
        <v>558.07904000000008</v>
      </c>
    </row>
    <row r="36" spans="1:4" ht="15.75" x14ac:dyDescent="0.25">
      <c r="A36" s="79" t="s">
        <v>186</v>
      </c>
      <c r="B36" s="77" t="s">
        <v>54</v>
      </c>
      <c r="C36" s="80" t="s">
        <v>171</v>
      </c>
      <c r="D36" s="81">
        <f>'ВОР  кровля ДДУ16.04.2024'!E96</f>
        <v>5</v>
      </c>
    </row>
    <row r="37" spans="1:4" ht="15.75" x14ac:dyDescent="0.25">
      <c r="A37" s="79" t="s">
        <v>187</v>
      </c>
      <c r="B37" s="78" t="s">
        <v>107</v>
      </c>
      <c r="C37" s="80" t="s">
        <v>21</v>
      </c>
      <c r="D37" s="82">
        <f>'ВОР  кровля ДДУ16.04.2024'!E110</f>
        <v>3.3000000000000003</v>
      </c>
    </row>
    <row r="38" spans="1:4" ht="15.75" x14ac:dyDescent="0.25">
      <c r="A38" s="79" t="s">
        <v>188</v>
      </c>
      <c r="B38" s="77" t="s">
        <v>12</v>
      </c>
      <c r="C38" s="80" t="s">
        <v>13</v>
      </c>
      <c r="D38" s="82">
        <f>'ВОР  кровля ДДУ16.04.2024'!E17+'ВОР  кровля ДДУ16.04.2024'!E41+'ВОР  кровля ДДУ16.04.2024'!E54+'ВОР  кровля ДДУ16.04.2024'!E103</f>
        <v>3531.7045399999997</v>
      </c>
    </row>
    <row r="39" spans="1:4" ht="15.75" x14ac:dyDescent="0.25">
      <c r="A39" s="79" t="s">
        <v>189</v>
      </c>
      <c r="B39" s="77" t="s">
        <v>56</v>
      </c>
      <c r="C39" s="80" t="s">
        <v>171</v>
      </c>
      <c r="D39" s="82">
        <f>'ВОР  кровля ДДУ16.04.2024'!E98</f>
        <v>5</v>
      </c>
    </row>
    <row r="40" spans="1:4" ht="15.75" x14ac:dyDescent="0.25">
      <c r="A40" s="79" t="s">
        <v>190</v>
      </c>
      <c r="B40" s="77" t="s">
        <v>27</v>
      </c>
      <c r="C40" s="80" t="s">
        <v>19</v>
      </c>
      <c r="D40" s="82">
        <f>'ВОР  кровля ДДУ16.04.2024'!E33+'ВОР  кровля ДДУ16.04.2024'!E36+'ВОР  кровля ДДУ16.04.2024'!E39+'ВОР  кровля ДДУ16.04.2024'!E75</f>
        <v>120.20376374999999</v>
      </c>
    </row>
    <row r="41" spans="1:4" ht="15.75" x14ac:dyDescent="0.25">
      <c r="A41" s="79" t="s">
        <v>191</v>
      </c>
      <c r="B41" s="78" t="s">
        <v>109</v>
      </c>
      <c r="C41" s="80" t="s">
        <v>171</v>
      </c>
      <c r="D41" s="82">
        <f>'ВОР  кровля ДДУ16.04.2024'!E112</f>
        <v>24</v>
      </c>
    </row>
    <row r="42" spans="1:4" ht="15.75" x14ac:dyDescent="0.25">
      <c r="A42" s="79" t="s">
        <v>192</v>
      </c>
      <c r="B42" s="77" t="s">
        <v>201</v>
      </c>
      <c r="C42" s="80" t="s">
        <v>10</v>
      </c>
      <c r="D42" s="82">
        <f>'ВОР  кровля ДДУ16.04.2024'!E34+'ВОР  кровля ДДУ16.04.2024'!E37</f>
        <v>1976.9466600000001</v>
      </c>
    </row>
    <row r="43" spans="1:4" ht="15.75" x14ac:dyDescent="0.25">
      <c r="A43" s="79" t="s">
        <v>193</v>
      </c>
      <c r="B43" s="77" t="s">
        <v>202</v>
      </c>
      <c r="C43" s="80" t="s">
        <v>10</v>
      </c>
      <c r="D43" s="82">
        <f>'ВОР  кровля ДДУ16.04.2024'!E88</f>
        <v>82.962000000000003</v>
      </c>
    </row>
    <row r="44" spans="1:4" ht="15.75" x14ac:dyDescent="0.25">
      <c r="A44" s="79" t="s">
        <v>205</v>
      </c>
      <c r="B44" s="78" t="s">
        <v>108</v>
      </c>
      <c r="C44" s="80" t="s">
        <v>171</v>
      </c>
      <c r="D44" s="82">
        <f>'ВОР  кровля ДДУ16.04.2024'!E111</f>
        <v>6</v>
      </c>
    </row>
    <row r="45" spans="1:4" ht="15.75" x14ac:dyDescent="0.25">
      <c r="A45" s="79" t="s">
        <v>206</v>
      </c>
      <c r="B45" s="77" t="s">
        <v>157</v>
      </c>
      <c r="C45" s="80" t="s">
        <v>10</v>
      </c>
      <c r="D45" s="82">
        <f>'ВОР  кровля ДДУ16.04.2024'!E46+'ВОР  кровля ДДУ16.04.2024'!E50+'ВОР  кровля ДДУ16.04.2024'!E56+'ВОР  кровля ДДУ16.04.2024'!E67+'ВОР  кровля ДДУ16.04.2024'!E82+'ВОР  кровля ДДУ16.04.2024'!E105</f>
        <v>2916.3896099999993</v>
      </c>
    </row>
    <row r="46" spans="1:4" ht="15.75" x14ac:dyDescent="0.25">
      <c r="A46" s="79" t="s">
        <v>207</v>
      </c>
      <c r="B46" s="77" t="s">
        <v>64</v>
      </c>
      <c r="C46" s="80" t="s">
        <v>10</v>
      </c>
      <c r="D46" s="82">
        <f>'ВОР  кровля ДДУ16.04.2024'!E120</f>
        <v>178.9896</v>
      </c>
    </row>
    <row r="47" spans="1:4" ht="15.75" x14ac:dyDescent="0.25">
      <c r="A47" s="79" t="s">
        <v>208</v>
      </c>
      <c r="B47" s="78" t="s">
        <v>60</v>
      </c>
      <c r="C47" s="80" t="s">
        <v>171</v>
      </c>
      <c r="D47" s="82">
        <f>'ВОР  кровля ДДУ16.04.2024'!E114</f>
        <v>12</v>
      </c>
    </row>
    <row r="48" spans="1:4" ht="15.75" x14ac:dyDescent="0.25">
      <c r="A48" s="79" t="s">
        <v>209</v>
      </c>
      <c r="B48" s="77" t="s">
        <v>204</v>
      </c>
      <c r="C48" s="80" t="s">
        <v>21</v>
      </c>
      <c r="D48" s="82">
        <f>'ВОР  кровля ДДУ16.04.2024'!E89</f>
        <v>979.1344224999998</v>
      </c>
    </row>
    <row r="49" spans="1:4" ht="15.75" x14ac:dyDescent="0.25">
      <c r="A49" s="79" t="s">
        <v>210</v>
      </c>
      <c r="B49" s="77" t="s">
        <v>156</v>
      </c>
      <c r="C49" s="80" t="s">
        <v>10</v>
      </c>
      <c r="D49" s="82">
        <f>'ВОР  кровля ДДУ16.04.2024'!E43+'ВОР  кровля ДДУ16.04.2024'!E55+'ВОР  кровля ДДУ16.04.2024'!E61+'ВОР  кровля ДДУ16.04.2024'!E64+'ВОР  кровля ДДУ16.04.2024'!E76+'ВОР  кровля ДДУ16.04.2024'!E79+'ВОР  кровля ДДУ16.04.2024'!E104</f>
        <v>3054.2939200000001</v>
      </c>
    </row>
    <row r="50" spans="1:4" ht="15.75" x14ac:dyDescent="0.25">
      <c r="A50" s="79" t="s">
        <v>211</v>
      </c>
      <c r="B50" s="77" t="s">
        <v>32</v>
      </c>
      <c r="C50" s="80" t="s">
        <v>10</v>
      </c>
      <c r="D50" s="82">
        <f>'ВОР  кровля ДДУ16.04.2024'!E28</f>
        <v>2210.3602799999999</v>
      </c>
    </row>
    <row r="51" spans="1:4" ht="15.75" x14ac:dyDescent="0.25">
      <c r="A51" s="79" t="s">
        <v>212</v>
      </c>
      <c r="B51" s="77" t="s">
        <v>22</v>
      </c>
      <c r="C51" s="80" t="s">
        <v>21</v>
      </c>
      <c r="D51" s="82">
        <f>'ВОР  кровля ДДУ16.04.2024'!E26</f>
        <v>66.691905000000006</v>
      </c>
    </row>
    <row r="52" spans="1:4" x14ac:dyDescent="0.25">
      <c r="A52" s="61"/>
      <c r="B52" s="62"/>
      <c r="C52" s="63"/>
      <c r="D52" s="63"/>
    </row>
    <row r="53" spans="1:4" ht="15.75" x14ac:dyDescent="0.25">
      <c r="A53" s="65"/>
      <c r="B53" s="21" t="s">
        <v>195</v>
      </c>
      <c r="C53" s="21"/>
      <c r="D53" s="21"/>
    </row>
    <row r="54" spans="1:4" x14ac:dyDescent="0.25">
      <c r="A54" s="73"/>
      <c r="B54" s="73"/>
      <c r="C54" s="73"/>
      <c r="D54" s="73"/>
    </row>
    <row r="55" spans="1:4" ht="15.75" x14ac:dyDescent="0.25">
      <c r="A55" s="65"/>
      <c r="B55" s="21" t="s">
        <v>194</v>
      </c>
      <c r="C55" s="21"/>
      <c r="D55" s="21"/>
    </row>
    <row r="56" spans="1:4" ht="15.75" x14ac:dyDescent="0.25">
      <c r="A56" s="21"/>
      <c r="B56" s="21"/>
      <c r="C56" s="21"/>
      <c r="D56" s="21"/>
    </row>
    <row r="57" spans="1:4" ht="15.75" x14ac:dyDescent="0.25">
      <c r="A57" s="65"/>
      <c r="B57" s="21" t="s">
        <v>218</v>
      </c>
      <c r="C57" s="21"/>
      <c r="D57" s="21"/>
    </row>
  </sheetData>
  <mergeCells count="2">
    <mergeCell ref="A10:D10"/>
    <mergeCell ref="A11:D11"/>
  </mergeCells>
  <phoneticPr fontId="23" type="noConversion"/>
  <conditionalFormatting sqref="R1:W7">
    <cfRule type="cellIs" dxfId="0" priority="1" operator="lessThan">
      <formula>0</formula>
    </cfRule>
  </conditionalFormatting>
  <pageMargins left="0.7" right="0.7" top="0.75" bottom="0.75" header="0.3" footer="0.3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78B3-30CF-47FB-B8A6-60361131B028}">
  <dimension ref="A2:G43"/>
  <sheetViews>
    <sheetView topLeftCell="A7" workbookViewId="0">
      <selection activeCell="P24" sqref="P24"/>
    </sheetView>
  </sheetViews>
  <sheetFormatPr defaultRowHeight="15" x14ac:dyDescent="0.25"/>
  <cols>
    <col min="1" max="1" width="18.5703125" bestFit="1" customWidth="1"/>
    <col min="2" max="2" width="11" customWidth="1"/>
  </cols>
  <sheetData>
    <row r="2" spans="1:7" x14ac:dyDescent="0.25">
      <c r="A2" s="52" t="s">
        <v>111</v>
      </c>
      <c r="B2" s="52"/>
      <c r="C2" s="52"/>
      <c r="D2" s="52"/>
      <c r="E2" s="52"/>
    </row>
    <row r="3" spans="1:7" x14ac:dyDescent="0.25">
      <c r="A3" s="52" t="s">
        <v>112</v>
      </c>
      <c r="B3" s="52" t="s">
        <v>121</v>
      </c>
      <c r="C3" s="52" t="s">
        <v>115</v>
      </c>
      <c r="D3" s="52" t="s">
        <v>114</v>
      </c>
      <c r="E3" s="52" t="s">
        <v>123</v>
      </c>
    </row>
    <row r="4" spans="1:7" x14ac:dyDescent="0.25">
      <c r="A4" s="52" t="s">
        <v>113</v>
      </c>
      <c r="B4" s="52">
        <v>3.4</v>
      </c>
      <c r="C4" s="52">
        <v>189.86</v>
      </c>
      <c r="D4" s="52">
        <v>75.2</v>
      </c>
      <c r="E4" s="52">
        <v>1</v>
      </c>
    </row>
    <row r="5" spans="1:7" x14ac:dyDescent="0.25">
      <c r="A5" s="52" t="s">
        <v>116</v>
      </c>
      <c r="B5" s="52">
        <v>3.4</v>
      </c>
      <c r="C5" s="52">
        <v>24.27</v>
      </c>
      <c r="D5" s="52">
        <v>26.38</v>
      </c>
      <c r="E5" s="52">
        <v>1</v>
      </c>
    </row>
    <row r="6" spans="1:7" x14ac:dyDescent="0.25">
      <c r="A6" s="52" t="s">
        <v>118</v>
      </c>
      <c r="B6" s="52">
        <v>14.25</v>
      </c>
      <c r="C6" s="52">
        <v>41.29</v>
      </c>
      <c r="D6" s="52">
        <v>26.1</v>
      </c>
      <c r="E6" s="52">
        <v>1</v>
      </c>
    </row>
    <row r="7" spans="1:7" x14ac:dyDescent="0.25">
      <c r="A7" s="52" t="s">
        <v>117</v>
      </c>
      <c r="B7" s="52">
        <v>14.25</v>
      </c>
      <c r="C7" s="52">
        <v>41.29</v>
      </c>
      <c r="D7" s="52">
        <v>26.13</v>
      </c>
      <c r="E7" s="52">
        <v>1</v>
      </c>
    </row>
    <row r="8" spans="1:7" x14ac:dyDescent="0.25">
      <c r="A8" s="52" t="s">
        <v>122</v>
      </c>
      <c r="B8" s="52">
        <v>11.291</v>
      </c>
      <c r="C8" s="52">
        <v>1522</v>
      </c>
      <c r="D8" s="52">
        <v>272</v>
      </c>
      <c r="E8" s="52">
        <v>1</v>
      </c>
    </row>
    <row r="9" spans="1:7" x14ac:dyDescent="0.25">
      <c r="A9" s="52" t="s">
        <v>146</v>
      </c>
      <c r="B9" s="52"/>
      <c r="C9" s="52">
        <f>SUM(C4:C8)</f>
        <v>1818.71</v>
      </c>
      <c r="D9" s="52">
        <f>SUM(D4:D8)</f>
        <v>425.81</v>
      </c>
      <c r="E9" s="52"/>
    </row>
    <row r="10" spans="1:7" s="51" customFormat="1" x14ac:dyDescent="0.25">
      <c r="A10" s="53" t="s">
        <v>147</v>
      </c>
      <c r="B10" s="53"/>
      <c r="C10" s="53">
        <f>C9-C34</f>
        <v>1771.4848</v>
      </c>
      <c r="D10" s="53"/>
      <c r="E10" s="53"/>
      <c r="G10" s="51">
        <f>C10+C34</f>
        <v>1818.71</v>
      </c>
    </row>
    <row r="11" spans="1:7" x14ac:dyDescent="0.25">
      <c r="A11" s="52"/>
      <c r="B11" s="52"/>
      <c r="C11" s="52"/>
      <c r="D11" s="52"/>
      <c r="E11" s="52"/>
    </row>
    <row r="12" spans="1:7" x14ac:dyDescent="0.25">
      <c r="A12" s="53" t="s">
        <v>119</v>
      </c>
      <c r="B12" s="52"/>
      <c r="C12" s="52"/>
      <c r="D12" s="52"/>
      <c r="E12" s="52"/>
    </row>
    <row r="13" spans="1:7" x14ac:dyDescent="0.25">
      <c r="A13" s="53" t="s">
        <v>120</v>
      </c>
      <c r="B13" s="52">
        <v>12.5</v>
      </c>
      <c r="C13" s="52">
        <f>0.91*1.8</f>
        <v>1.6380000000000001</v>
      </c>
      <c r="D13" s="52">
        <f>(1.8+0.91)*2</f>
        <v>5.42</v>
      </c>
      <c r="E13" s="52">
        <v>4</v>
      </c>
    </row>
    <row r="14" spans="1:7" x14ac:dyDescent="0.25">
      <c r="A14" s="53" t="s">
        <v>124</v>
      </c>
      <c r="B14" s="52">
        <v>12.5</v>
      </c>
      <c r="C14" s="52">
        <f>1.44*2.01</f>
        <v>2.8943999999999996</v>
      </c>
      <c r="D14" s="52">
        <f>(1.44+2.01)*2</f>
        <v>6.8999999999999995</v>
      </c>
      <c r="E14" s="52">
        <v>4</v>
      </c>
    </row>
    <row r="15" spans="1:7" x14ac:dyDescent="0.25">
      <c r="A15" s="53" t="s">
        <v>125</v>
      </c>
      <c r="B15" s="52">
        <v>12.5</v>
      </c>
      <c r="C15" s="52">
        <v>2.5499999999999998</v>
      </c>
      <c r="D15" s="52">
        <v>7.38</v>
      </c>
      <c r="E15" s="52">
        <v>4</v>
      </c>
    </row>
    <row r="16" spans="1:7" x14ac:dyDescent="0.25">
      <c r="A16" s="53" t="s">
        <v>126</v>
      </c>
      <c r="B16" s="52">
        <v>12.5</v>
      </c>
      <c r="C16" s="52">
        <f>1.61*0.96</f>
        <v>1.5456000000000001</v>
      </c>
      <c r="D16" s="52">
        <f>(0.96+1.61)*2</f>
        <v>5.1400000000000006</v>
      </c>
      <c r="E16" s="52">
        <v>1</v>
      </c>
    </row>
    <row r="17" spans="1:5" x14ac:dyDescent="0.25">
      <c r="A17" s="53" t="s">
        <v>128</v>
      </c>
      <c r="B17" s="52">
        <v>12.9</v>
      </c>
      <c r="C17" s="52">
        <v>4.9000000000000004</v>
      </c>
      <c r="D17" s="52">
        <v>10.519</v>
      </c>
      <c r="E17" s="52">
        <v>1</v>
      </c>
    </row>
    <row r="18" spans="1:5" x14ac:dyDescent="0.25">
      <c r="A18" s="53" t="s">
        <v>129</v>
      </c>
      <c r="B18" s="52">
        <v>12.5</v>
      </c>
      <c r="C18" s="52">
        <f>1.34*1.16</f>
        <v>1.5544</v>
      </c>
      <c r="D18" s="52">
        <f>(1.34+1.16)*2</f>
        <v>5</v>
      </c>
      <c r="E18" s="52"/>
    </row>
    <row r="19" spans="1:5" x14ac:dyDescent="0.25">
      <c r="A19" s="53" t="s">
        <v>130</v>
      </c>
      <c r="B19" s="52">
        <v>12.5</v>
      </c>
      <c r="C19" s="52">
        <f>1.46*0.94</f>
        <v>1.3723999999999998</v>
      </c>
      <c r="D19" s="52">
        <f>(1.46+0.94)*2</f>
        <v>4.8</v>
      </c>
      <c r="E19" s="52"/>
    </row>
    <row r="20" spans="1:5" x14ac:dyDescent="0.25">
      <c r="A20" s="53" t="s">
        <v>131</v>
      </c>
      <c r="B20" s="52">
        <v>12.5</v>
      </c>
      <c r="C20" s="52">
        <f>0.96*1.94</f>
        <v>1.8623999999999998</v>
      </c>
      <c r="D20" s="52">
        <f>(1.96+0.94)*2</f>
        <v>5.8</v>
      </c>
      <c r="E20" s="52"/>
    </row>
    <row r="21" spans="1:5" x14ac:dyDescent="0.25">
      <c r="A21" s="53" t="s">
        <v>132</v>
      </c>
      <c r="B21" s="52">
        <v>12.5</v>
      </c>
      <c r="C21" s="52">
        <f>0.83*1.49+(1.5-0.83)*0.86</f>
        <v>1.8129</v>
      </c>
      <c r="D21" s="52">
        <v>5.98</v>
      </c>
      <c r="E21" s="52"/>
    </row>
    <row r="22" spans="1:5" x14ac:dyDescent="0.25">
      <c r="A22" s="52" t="s">
        <v>133</v>
      </c>
      <c r="B22" s="52">
        <v>12.5</v>
      </c>
      <c r="C22" s="52">
        <f>C37</f>
        <v>1.9481000000000002</v>
      </c>
      <c r="D22" s="52">
        <f>D37</f>
        <v>0</v>
      </c>
      <c r="E22" s="52"/>
    </row>
    <row r="23" spans="1:5" x14ac:dyDescent="0.25">
      <c r="A23" s="52" t="s">
        <v>134</v>
      </c>
      <c r="B23" s="52">
        <v>12.5</v>
      </c>
      <c r="C23" s="52">
        <f>2.48*1.49</f>
        <v>3.6951999999999998</v>
      </c>
      <c r="D23" s="52">
        <f>(2.48+1.49)*2</f>
        <v>7.9399999999999995</v>
      </c>
      <c r="E23" s="52"/>
    </row>
    <row r="24" spans="1:5" x14ac:dyDescent="0.25">
      <c r="A24" s="52" t="s">
        <v>135</v>
      </c>
      <c r="B24" s="52">
        <v>12.1</v>
      </c>
      <c r="C24" s="52">
        <f>2.69*1.68</f>
        <v>4.5191999999999997</v>
      </c>
      <c r="D24" s="52">
        <f>(2.69+1.68)*2</f>
        <v>8.74</v>
      </c>
      <c r="E24" s="52"/>
    </row>
    <row r="25" spans="1:5" x14ac:dyDescent="0.25">
      <c r="A25" s="52" t="s">
        <v>136</v>
      </c>
      <c r="B25" s="52">
        <v>12.5</v>
      </c>
      <c r="C25" s="52">
        <f>1.32*1.32</f>
        <v>1.7424000000000002</v>
      </c>
      <c r="D25" s="52">
        <f>1.32*4</f>
        <v>5.28</v>
      </c>
      <c r="E25" s="52"/>
    </row>
    <row r="26" spans="1:5" x14ac:dyDescent="0.25">
      <c r="A26" s="52" t="s">
        <v>137</v>
      </c>
      <c r="B26" s="52">
        <v>12.5</v>
      </c>
      <c r="C26" s="52">
        <f>1.61*1.16</f>
        <v>1.8675999999999999</v>
      </c>
      <c r="D26" s="52">
        <f>(1.61+1.16)*2</f>
        <v>5.54</v>
      </c>
      <c r="E26" s="52"/>
    </row>
    <row r="27" spans="1:5" x14ac:dyDescent="0.25">
      <c r="A27" s="52" t="s">
        <v>138</v>
      </c>
      <c r="B27" s="52">
        <v>13.25</v>
      </c>
      <c r="C27" s="52">
        <f>0.86*1.35+(1.26-0.86)*0.73</f>
        <v>1.4530000000000001</v>
      </c>
      <c r="D27" s="52">
        <f>(1.26+1.35)*2</f>
        <v>5.2200000000000006</v>
      </c>
      <c r="E27" s="52"/>
    </row>
    <row r="28" spans="1:5" x14ac:dyDescent="0.25">
      <c r="A28" s="52" t="s">
        <v>139</v>
      </c>
      <c r="B28" s="52">
        <v>13.25</v>
      </c>
      <c r="C28" s="52">
        <f>0.91*1.11</f>
        <v>1.0101000000000002</v>
      </c>
      <c r="D28" s="52">
        <f>(0.91+1.11)*2</f>
        <v>4.04</v>
      </c>
      <c r="E28" s="52"/>
    </row>
    <row r="29" spans="1:5" x14ac:dyDescent="0.25">
      <c r="A29" s="52" t="s">
        <v>140</v>
      </c>
      <c r="B29" s="52">
        <v>12.5</v>
      </c>
      <c r="C29" s="52">
        <f>1.54*1.06</f>
        <v>1.6324000000000001</v>
      </c>
      <c r="D29" s="52">
        <f>+(1.54+1.06)*2</f>
        <v>5.2</v>
      </c>
      <c r="E29" s="52"/>
    </row>
    <row r="30" spans="1:5" x14ac:dyDescent="0.25">
      <c r="A30" s="52" t="s">
        <v>141</v>
      </c>
      <c r="B30" s="52">
        <v>12.5</v>
      </c>
      <c r="C30" s="52">
        <f>0.86*1.64</f>
        <v>1.4103999999999999</v>
      </c>
      <c r="D30" s="52">
        <f>(0.86+1.64)*2</f>
        <v>5</v>
      </c>
      <c r="E30" s="52"/>
    </row>
    <row r="31" spans="1:5" x14ac:dyDescent="0.25">
      <c r="A31" s="52" t="s">
        <v>142</v>
      </c>
      <c r="B31" s="52">
        <v>12.5</v>
      </c>
      <c r="C31" s="52">
        <f>2.86*0.86</f>
        <v>2.4596</v>
      </c>
      <c r="D31" s="52">
        <f>(2.86+0.86)*2</f>
        <v>7.4399999999999995</v>
      </c>
      <c r="E31" s="52"/>
    </row>
    <row r="32" spans="1:5" x14ac:dyDescent="0.25">
      <c r="A32" s="52" t="s">
        <v>143</v>
      </c>
      <c r="B32" s="52">
        <v>12.5</v>
      </c>
      <c r="C32" s="52">
        <f>0.91*1.35+(1.31-0.91)*0.86</f>
        <v>1.5725000000000002</v>
      </c>
      <c r="D32" s="52">
        <f>(1.35+1.31)*2</f>
        <v>5.32</v>
      </c>
      <c r="E32" s="52"/>
    </row>
    <row r="33" spans="1:5" x14ac:dyDescent="0.25">
      <c r="A33" s="52" t="s">
        <v>144</v>
      </c>
      <c r="B33" s="52">
        <v>12.5</v>
      </c>
      <c r="C33" s="52">
        <f>1.17*1.26+1.52*1.52</f>
        <v>3.7846000000000002</v>
      </c>
      <c r="D33" s="52">
        <f>(1.52+1.52+1.17)*2</f>
        <v>8.42</v>
      </c>
      <c r="E33" s="52"/>
    </row>
    <row r="34" spans="1:5" s="51" customFormat="1" x14ac:dyDescent="0.25">
      <c r="A34" s="53" t="s">
        <v>145</v>
      </c>
      <c r="B34" s="53"/>
      <c r="C34" s="53">
        <f>SUM(C13:C33)</f>
        <v>47.225200000000008</v>
      </c>
      <c r="D34" s="53">
        <f>SUM(D13:D33)</f>
        <v>125.07899999999999</v>
      </c>
      <c r="E34" s="53"/>
    </row>
    <row r="35" spans="1:5" s="51" customFormat="1" x14ac:dyDescent="0.25">
      <c r="A35" s="53" t="s">
        <v>127</v>
      </c>
      <c r="B35" s="53"/>
      <c r="C35" s="53"/>
      <c r="D35" s="53"/>
      <c r="E35" s="53"/>
    </row>
    <row r="36" spans="1:5" x14ac:dyDescent="0.25">
      <c r="A36" s="52" t="s">
        <v>128</v>
      </c>
      <c r="B36" s="52">
        <v>12.5</v>
      </c>
      <c r="C36" s="52">
        <f>C17-0.8*0.8-1.22*0.84</f>
        <v>3.2351999999999999</v>
      </c>
      <c r="D36" s="52"/>
      <c r="E36" s="52">
        <v>1</v>
      </c>
    </row>
    <row r="37" spans="1:5" x14ac:dyDescent="0.25">
      <c r="A37" s="52" t="s">
        <v>133</v>
      </c>
      <c r="B37" s="52">
        <v>12.5</v>
      </c>
      <c r="C37" s="52">
        <f>1.21*1.61</f>
        <v>1.9481000000000002</v>
      </c>
      <c r="D37" s="54"/>
      <c r="E37" s="52">
        <v>1</v>
      </c>
    </row>
    <row r="38" spans="1:5" x14ac:dyDescent="0.25">
      <c r="A38" s="52" t="s">
        <v>134</v>
      </c>
      <c r="B38" s="52">
        <v>12.5</v>
      </c>
      <c r="C38" s="52">
        <f>C23-0.675*0.675*2</f>
        <v>2.7839499999999999</v>
      </c>
      <c r="D38" s="52">
        <f>0.675*4*2</f>
        <v>5.4</v>
      </c>
      <c r="E38" s="52"/>
    </row>
    <row r="39" spans="1:5" x14ac:dyDescent="0.25">
      <c r="A39" s="52" t="s">
        <v>135</v>
      </c>
      <c r="B39" s="52">
        <v>12.1</v>
      </c>
      <c r="C39" s="52">
        <f>C24-0.775*0.775*2</f>
        <v>3.3179499999999997</v>
      </c>
      <c r="D39" s="52">
        <f>0.775*4*2</f>
        <v>6.2</v>
      </c>
      <c r="E39" s="52"/>
    </row>
    <row r="40" spans="1:5" x14ac:dyDescent="0.25">
      <c r="A40" s="52" t="s">
        <v>136</v>
      </c>
      <c r="B40" s="52">
        <v>12.5</v>
      </c>
      <c r="C40" s="52">
        <f>C25-0.6*0.6</f>
        <v>1.3824000000000001</v>
      </c>
      <c r="D40" s="52"/>
      <c r="E40" s="52"/>
    </row>
    <row r="41" spans="1:5" x14ac:dyDescent="0.25">
      <c r="A41" s="52" t="s">
        <v>137</v>
      </c>
      <c r="B41" s="52">
        <v>12.5</v>
      </c>
      <c r="C41" s="52">
        <f>C26</f>
        <v>1.8675999999999999</v>
      </c>
      <c r="D41" s="52"/>
      <c r="E41" s="52"/>
    </row>
    <row r="42" spans="1:5" x14ac:dyDescent="0.25">
      <c r="A42" s="52" t="s">
        <v>144</v>
      </c>
      <c r="B42" s="52">
        <v>12.5</v>
      </c>
      <c r="C42" s="52">
        <f>C33-0.8*0.8</f>
        <v>3.1446000000000001</v>
      </c>
      <c r="D42" s="52"/>
      <c r="E42" s="52"/>
    </row>
    <row r="43" spans="1:5" s="51" customFormat="1" x14ac:dyDescent="0.25">
      <c r="A43" s="53" t="s">
        <v>145</v>
      </c>
      <c r="B43" s="53"/>
      <c r="C43" s="53">
        <f>SUM(C36:C42)</f>
        <v>17.6798</v>
      </c>
      <c r="D43" s="53">
        <f>SUM(D36:D42)</f>
        <v>11.600000000000001</v>
      </c>
      <c r="E43" s="53"/>
    </row>
  </sheetData>
  <phoneticPr fontId="2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ВОР  кровля ДДУ16.04.2024</vt:lpstr>
      <vt:lpstr>Лист1</vt:lpstr>
      <vt:lpstr>расчет</vt:lpstr>
      <vt:lpstr>'ВОР  кровля ДДУ16.04.2024'!Область_печати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Росяев</dc:creator>
  <cp:lastModifiedBy>Соломатина Светлана Викторовна</cp:lastModifiedBy>
  <cp:lastPrinted>2024-06-19T09:22:29Z</cp:lastPrinted>
  <dcterms:created xsi:type="dcterms:W3CDTF">2022-03-18T07:50:49Z</dcterms:created>
  <dcterms:modified xsi:type="dcterms:W3CDTF">2024-08-08T12:07:42Z</dcterms:modified>
</cp:coreProperties>
</file>